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010" yWindow="285" windowWidth="11220" windowHeight="8940" tabRatio="722"/>
  </bookViews>
  <sheets>
    <sheet name=".01" sheetId="10" r:id="rId1"/>
    <sheet name="Assets" sheetId="18" r:id="rId2"/>
    <sheet name="Liabilities" sheetId="19" r:id="rId3"/>
    <sheet name="Net Foreign Assets" sheetId="20" r:id="rId4"/>
    <sheet name="Residents &amp; non-residents" sheetId="21" r:id="rId5"/>
    <sheet name=".02" sheetId="9" r:id="rId6"/>
    <sheet name=".03 delete" sheetId="3" state="hidden" r:id="rId7"/>
    <sheet name=".04 delete" sheetId="4" state="hidden" r:id="rId8"/>
    <sheet name=".05" sheetId="16" r:id="rId9"/>
    <sheet name=".06" sheetId="8" r:id="rId10"/>
    <sheet name=".07" sheetId="2" r:id="rId11"/>
    <sheet name=".08" sheetId="12" r:id="rId12"/>
    <sheet name=".09" sheetId="11" r:id="rId13"/>
    <sheet name="new .10" sheetId="17" r:id="rId14"/>
    <sheet name=".10 delete" sheetId="13" state="hidden" r:id="rId15"/>
    <sheet name=".11" sheetId="14" r:id="rId16"/>
    <sheet name=".12 &amp; .13 new" sheetId="15" r:id="rId17"/>
  </sheets>
  <externalReferences>
    <externalReference r:id="rId18"/>
  </externalReferences>
  <definedNames>
    <definedName name="footer">'.03 delete'!$C$55</definedName>
    <definedName name="_xlnm.Print_Area" localSheetId="0">'.01'!$A$1:$AT$68</definedName>
    <definedName name="_xlnm.Print_Area" localSheetId="5">'.02'!$A$1:$AE$57</definedName>
    <definedName name="_xlnm.Print_Area" localSheetId="6">'.03 delete'!$A$2:$X$55</definedName>
    <definedName name="_xlnm.Print_Area" localSheetId="7">'.04 delete'!$A$2:$T$75</definedName>
    <definedName name="_xlnm.Print_Area" localSheetId="8">'.05'!$A$2:$M$41</definedName>
    <definedName name="_xlnm.Print_Area" localSheetId="9">'.06'!$A$1:$L$72</definedName>
    <definedName name="_xlnm.Print_Area" localSheetId="10">'.07'!$A$1:$K$72</definedName>
    <definedName name="_xlnm.Print_Area" localSheetId="11">'.08'!$A$1:$L$73</definedName>
    <definedName name="_xlnm.Print_Area" localSheetId="12">'.09'!$A$1:$L$78</definedName>
    <definedName name="_xlnm.Print_Area" localSheetId="14">'.10 delete'!$A$2:$AM$74</definedName>
    <definedName name="_xlnm.Print_Area" localSheetId="15">'.11'!$A$1:$Z$60</definedName>
    <definedName name="_xlnm.Print_Area" localSheetId="16">'.12 &amp; .13 new'!$A$1:$O$41</definedName>
    <definedName name="_xlnm.Print_Area" localSheetId="1">Assets!$B$3:$J$51</definedName>
    <definedName name="_xlnm.Print_Area" localSheetId="2">Liabilities!$B$3:$I$51</definedName>
    <definedName name="_xlnm.Print_Area" localSheetId="3">'Net Foreign Assets'!$B$4:$J$51</definedName>
    <definedName name="_xlnm.Print_Area" localSheetId="4">'Residents &amp; non-residents'!$B$3:$I$50</definedName>
  </definedNames>
  <calcPr calcId="145621" calcMode="manual"/>
</workbook>
</file>

<file path=xl/calcChain.xml><?xml version="1.0" encoding="utf-8"?>
<calcChain xmlns="http://schemas.openxmlformats.org/spreadsheetml/2006/main">
  <c r="Y24" i="14" l="1"/>
  <c r="I57" i="12" l="1"/>
  <c r="F58" i="8"/>
  <c r="J58" i="8"/>
  <c r="E29" i="16"/>
  <c r="F29" i="16"/>
  <c r="G29" i="16"/>
  <c r="H29" i="16"/>
  <c r="I29" i="16"/>
  <c r="J29" i="16"/>
  <c r="K29" i="16"/>
  <c r="L29" i="16"/>
  <c r="M29" i="16"/>
  <c r="E24" i="16"/>
  <c r="F24" i="16"/>
  <c r="G24" i="16"/>
  <c r="H24" i="16"/>
  <c r="I24" i="16"/>
  <c r="J24" i="16"/>
  <c r="K24" i="16"/>
  <c r="L24" i="16"/>
  <c r="M24" i="16"/>
  <c r="D15" i="16"/>
  <c r="E15" i="16"/>
  <c r="F15" i="16"/>
  <c r="G15" i="16"/>
  <c r="H15" i="16"/>
  <c r="I15" i="16"/>
  <c r="J15" i="16"/>
  <c r="K15" i="16"/>
  <c r="E20" i="16"/>
  <c r="F20" i="16"/>
  <c r="G20" i="16"/>
  <c r="H20" i="16"/>
  <c r="I20" i="16"/>
  <c r="J20" i="16"/>
  <c r="K20" i="16"/>
  <c r="L20" i="16"/>
  <c r="M20" i="16"/>
  <c r="L15" i="16"/>
  <c r="L14" i="16" s="1"/>
  <c r="M15" i="16"/>
  <c r="M14" i="16" s="1"/>
  <c r="K14" i="16"/>
  <c r="S17" i="4"/>
  <c r="S16" i="4"/>
  <c r="S15" i="4"/>
  <c r="I62" i="11"/>
  <c r="J62" i="11"/>
  <c r="J57" i="12"/>
  <c r="Y18" i="14"/>
  <c r="N13" i="15"/>
  <c r="M13" i="15"/>
  <c r="J14" i="16" l="1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8" i="20"/>
  <c r="AD29" i="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8" i="19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8" i="18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7" i="21"/>
  <c r="AD13" i="9" l="1"/>
  <c r="I64" i="2"/>
  <c r="E13" i="15"/>
  <c r="F13" i="15"/>
  <c r="G13" i="15"/>
  <c r="H13" i="15"/>
  <c r="I13" i="15"/>
  <c r="J13" i="15"/>
  <c r="K13" i="15"/>
  <c r="L13" i="15"/>
  <c r="E11" i="14"/>
  <c r="F11" i="14"/>
  <c r="G11" i="14" s="1"/>
  <c r="H11" i="14" s="1"/>
  <c r="I11" i="14" s="1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W24" i="14"/>
  <c r="X24" i="14"/>
  <c r="X19" i="13"/>
  <c r="Y19" i="13"/>
  <c r="Z19" i="13"/>
  <c r="AA19" i="13"/>
  <c r="AB19" i="13"/>
  <c r="AC19" i="13"/>
  <c r="AE19" i="13"/>
  <c r="U23" i="13"/>
  <c r="V23" i="13"/>
  <c r="W23" i="13"/>
  <c r="X23" i="13"/>
  <c r="Y23" i="13"/>
  <c r="Z23" i="13"/>
  <c r="AA23" i="13"/>
  <c r="AB23" i="13"/>
  <c r="AC23" i="13"/>
  <c r="AI23" i="13"/>
  <c r="U24" i="13"/>
  <c r="V24" i="13"/>
  <c r="W24" i="13"/>
  <c r="X24" i="13"/>
  <c r="Y24" i="13"/>
  <c r="Z24" i="13"/>
  <c r="AA24" i="13"/>
  <c r="AB24" i="13"/>
  <c r="AC24" i="13"/>
  <c r="U25" i="13"/>
  <c r="V25" i="13"/>
  <c r="W25" i="13"/>
  <c r="X25" i="13"/>
  <c r="Y25" i="13"/>
  <c r="Z25" i="13"/>
  <c r="AA25" i="13"/>
  <c r="AB25" i="13"/>
  <c r="AC25" i="13"/>
  <c r="AI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Q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C35" i="13"/>
  <c r="AC37" i="13"/>
  <c r="AC39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S43" i="13"/>
  <c r="T43" i="13"/>
  <c r="U43" i="13"/>
  <c r="V43" i="13"/>
  <c r="W43" i="13"/>
  <c r="X43" i="13"/>
  <c r="Y43" i="13"/>
  <c r="X82" i="13"/>
  <c r="Y82" i="13"/>
  <c r="Z82" i="13"/>
  <c r="AA82" i="13"/>
  <c r="AB82" i="13"/>
  <c r="AC82" i="13"/>
  <c r="AD82" i="13"/>
  <c r="U97" i="13"/>
  <c r="V97" i="13"/>
  <c r="W97" i="13"/>
  <c r="X97" i="13"/>
  <c r="Y97" i="13"/>
  <c r="Z97" i="13"/>
  <c r="AA97" i="13"/>
  <c r="AB97" i="13"/>
  <c r="AC97" i="13"/>
  <c r="AD97" i="13"/>
  <c r="AA98" i="13"/>
  <c r="U100" i="13"/>
  <c r="V100" i="13"/>
  <c r="W100" i="13"/>
  <c r="X100" i="13"/>
  <c r="Y100" i="13"/>
  <c r="Z100" i="13"/>
  <c r="AA100" i="13"/>
  <c r="AB100" i="13"/>
  <c r="AC100" i="13"/>
  <c r="AD100" i="13"/>
  <c r="Y102" i="13"/>
  <c r="I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J29" i="11"/>
  <c r="I30" i="11"/>
  <c r="J30" i="11"/>
  <c r="I31" i="11"/>
  <c r="J31" i="11"/>
  <c r="I32" i="11"/>
  <c r="J32" i="11"/>
  <c r="I33" i="11"/>
  <c r="J33" i="11"/>
  <c r="I34" i="11"/>
  <c r="J34" i="11"/>
  <c r="I35" i="11"/>
  <c r="J35" i="11"/>
  <c r="I36" i="11"/>
  <c r="J36" i="11"/>
  <c r="I37" i="11"/>
  <c r="J37" i="11"/>
  <c r="I38" i="11"/>
  <c r="J38" i="11"/>
  <c r="I39" i="11"/>
  <c r="J39" i="11"/>
  <c r="I41" i="11"/>
  <c r="J41" i="11"/>
  <c r="I42" i="11"/>
  <c r="J42" i="11"/>
  <c r="I43" i="11"/>
  <c r="J43" i="11"/>
  <c r="I44" i="11"/>
  <c r="J44" i="11"/>
  <c r="I45" i="11"/>
  <c r="J45" i="11"/>
  <c r="I47" i="11"/>
  <c r="J47" i="11"/>
  <c r="I48" i="11"/>
  <c r="J48" i="11"/>
  <c r="I49" i="11"/>
  <c r="J49" i="11"/>
  <c r="I50" i="11"/>
  <c r="J50" i="11"/>
  <c r="I51" i="11"/>
  <c r="J51" i="11"/>
  <c r="I53" i="11"/>
  <c r="J53" i="11"/>
  <c r="I54" i="11"/>
  <c r="J54" i="11"/>
  <c r="I55" i="11"/>
  <c r="J55" i="11"/>
  <c r="I56" i="11"/>
  <c r="J56" i="11"/>
  <c r="I57" i="11"/>
  <c r="J57" i="11"/>
  <c r="I58" i="11"/>
  <c r="J58" i="11"/>
  <c r="I59" i="11"/>
  <c r="J59" i="11"/>
  <c r="I60" i="11"/>
  <c r="J60" i="11"/>
  <c r="I61" i="11"/>
  <c r="J61" i="11"/>
  <c r="I13" i="12"/>
  <c r="I14" i="12"/>
  <c r="J14" i="12" s="1"/>
  <c r="I15" i="12"/>
  <c r="J15" i="12" s="1"/>
  <c r="I16" i="12"/>
  <c r="J16" i="12" s="1"/>
  <c r="I17" i="12"/>
  <c r="J17" i="12" s="1"/>
  <c r="I18" i="12"/>
  <c r="J18" i="12" s="1"/>
  <c r="I19" i="12"/>
  <c r="J19" i="12" s="1"/>
  <c r="I20" i="12"/>
  <c r="J20" i="12" s="1"/>
  <c r="I21" i="12"/>
  <c r="J21" i="12" s="1"/>
  <c r="I22" i="12"/>
  <c r="J22" i="12" s="1"/>
  <c r="I23" i="12"/>
  <c r="J23" i="12" s="1"/>
  <c r="I24" i="12"/>
  <c r="J24" i="12" s="1"/>
  <c r="I25" i="12"/>
  <c r="J25" i="12" s="1"/>
  <c r="I26" i="12"/>
  <c r="J26" i="12" s="1"/>
  <c r="I27" i="12"/>
  <c r="J27" i="12" s="1"/>
  <c r="E28" i="12"/>
  <c r="I28" i="12"/>
  <c r="J28" i="12"/>
  <c r="E29" i="12"/>
  <c r="I29" i="12"/>
  <c r="J29" i="12" s="1"/>
  <c r="E30" i="12"/>
  <c r="I30" i="12"/>
  <c r="J30" i="12"/>
  <c r="I32" i="12"/>
  <c r="J32" i="12"/>
  <c r="I33" i="12"/>
  <c r="J33" i="12"/>
  <c r="I34" i="12"/>
  <c r="J34" i="12"/>
  <c r="I36" i="12"/>
  <c r="J36" i="12"/>
  <c r="I37" i="12"/>
  <c r="J37" i="12"/>
  <c r="I38" i="12"/>
  <c r="J38" i="12"/>
  <c r="J39" i="12"/>
  <c r="J40" i="12"/>
  <c r="I42" i="12"/>
  <c r="J42" i="12"/>
  <c r="I43" i="12"/>
  <c r="J43" i="12"/>
  <c r="I44" i="12"/>
  <c r="J44" i="12"/>
  <c r="I45" i="12"/>
  <c r="J45" i="12"/>
  <c r="I46" i="12"/>
  <c r="J46" i="12"/>
  <c r="I48" i="12"/>
  <c r="J48" i="12"/>
  <c r="I49" i="12"/>
  <c r="J49" i="12"/>
  <c r="I50" i="12"/>
  <c r="J50" i="12"/>
  <c r="I51" i="12"/>
  <c r="J51" i="12"/>
  <c r="I52" i="12"/>
  <c r="J52" i="12"/>
  <c r="J53" i="12"/>
  <c r="I54" i="12"/>
  <c r="J54" i="12"/>
  <c r="I55" i="12"/>
  <c r="J55" i="12"/>
  <c r="I56" i="12"/>
  <c r="J56" i="12"/>
  <c r="I13" i="2"/>
  <c r="I14" i="2"/>
  <c r="I15" i="2"/>
  <c r="I16" i="2"/>
  <c r="I17" i="2"/>
  <c r="I19" i="2"/>
  <c r="I20" i="2"/>
  <c r="I21" i="2"/>
  <c r="I22" i="2"/>
  <c r="I23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1" i="2"/>
  <c r="I42" i="2"/>
  <c r="I43" i="2"/>
  <c r="I44" i="2"/>
  <c r="I45" i="2"/>
  <c r="I47" i="2"/>
  <c r="I48" i="2"/>
  <c r="I49" i="2"/>
  <c r="I50" i="2"/>
  <c r="I51" i="2"/>
  <c r="I53" i="2"/>
  <c r="I54" i="2"/>
  <c r="I55" i="2"/>
  <c r="I56" i="2"/>
  <c r="I57" i="2"/>
  <c r="I59" i="2"/>
  <c r="I60" i="2"/>
  <c r="I61" i="2"/>
  <c r="I62" i="2"/>
  <c r="I63" i="2"/>
  <c r="F14" i="8"/>
  <c r="J14" i="8"/>
  <c r="F15" i="8"/>
  <c r="J15" i="8"/>
  <c r="F16" i="8"/>
  <c r="J16" i="8"/>
  <c r="F17" i="8"/>
  <c r="J17" i="8"/>
  <c r="F18" i="8"/>
  <c r="J18" i="8"/>
  <c r="F19" i="8"/>
  <c r="J19" i="8"/>
  <c r="F20" i="8"/>
  <c r="J20" i="8"/>
  <c r="F21" i="8"/>
  <c r="J21" i="8"/>
  <c r="F22" i="8"/>
  <c r="J22" i="8"/>
  <c r="F23" i="8"/>
  <c r="J23" i="8"/>
  <c r="F24" i="8"/>
  <c r="J24" i="8"/>
  <c r="F25" i="8"/>
  <c r="J25" i="8"/>
  <c r="F26" i="8"/>
  <c r="J26" i="8"/>
  <c r="F28" i="8"/>
  <c r="J28" i="8"/>
  <c r="F29" i="8"/>
  <c r="J29" i="8"/>
  <c r="F30" i="8"/>
  <c r="J30" i="8"/>
  <c r="F31" i="8"/>
  <c r="J31" i="8"/>
  <c r="F32" i="8"/>
  <c r="J32" i="8"/>
  <c r="F34" i="8"/>
  <c r="J34" i="8"/>
  <c r="F35" i="8"/>
  <c r="J35" i="8"/>
  <c r="F36" i="8"/>
  <c r="J36" i="8"/>
  <c r="F37" i="8"/>
  <c r="J37" i="8"/>
  <c r="F38" i="8"/>
  <c r="J38" i="8"/>
  <c r="F40" i="8"/>
  <c r="J40" i="8"/>
  <c r="F41" i="8"/>
  <c r="J41" i="8"/>
  <c r="F42" i="8"/>
  <c r="J42" i="8"/>
  <c r="F43" i="8"/>
  <c r="J43" i="8"/>
  <c r="D44" i="8"/>
  <c r="F44" i="8" s="1"/>
  <c r="J44" i="8"/>
  <c r="D46" i="8"/>
  <c r="F46" i="8"/>
  <c r="J46" i="8"/>
  <c r="F47" i="8"/>
  <c r="J47" i="8"/>
  <c r="F48" i="8"/>
  <c r="J48" i="8"/>
  <c r="F49" i="8"/>
  <c r="J49" i="8"/>
  <c r="F50" i="8"/>
  <c r="J50" i="8"/>
  <c r="F52" i="8"/>
  <c r="J52" i="8"/>
  <c r="F53" i="8"/>
  <c r="J53" i="8"/>
  <c r="F54" i="8"/>
  <c r="J54" i="8"/>
  <c r="F55" i="8"/>
  <c r="J55" i="8"/>
  <c r="F56" i="8"/>
  <c r="J56" i="8"/>
  <c r="F57" i="8"/>
  <c r="J57" i="8"/>
  <c r="D20" i="16"/>
  <c r="D24" i="16"/>
  <c r="D14" i="16" s="1"/>
  <c r="D13" i="16" s="1"/>
  <c r="D29" i="16"/>
  <c r="G15" i="4"/>
  <c r="H15" i="4"/>
  <c r="I15" i="4"/>
  <c r="J15" i="4"/>
  <c r="K15" i="4"/>
  <c r="Q15" i="4"/>
  <c r="H16" i="4"/>
  <c r="I16" i="4"/>
  <c r="J16" i="4"/>
  <c r="K16" i="4"/>
  <c r="Q16" i="4"/>
  <c r="H17" i="4"/>
  <c r="I17" i="4"/>
  <c r="J17" i="4"/>
  <c r="K17" i="4"/>
  <c r="Q17" i="4"/>
  <c r="D20" i="4"/>
  <c r="E20" i="4"/>
  <c r="F20" i="4"/>
  <c r="G20" i="4"/>
  <c r="H20" i="4"/>
  <c r="I20" i="4"/>
  <c r="J20" i="4"/>
  <c r="K20" i="4"/>
  <c r="L20" i="4"/>
  <c r="M20" i="4"/>
  <c r="N20" i="4"/>
  <c r="O20" i="4"/>
  <c r="R20" i="4"/>
  <c r="K22" i="4"/>
  <c r="P22" i="4"/>
  <c r="K24" i="4"/>
  <c r="P24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AA34" i="4"/>
  <c r="AA35" i="4"/>
  <c r="V36" i="4"/>
  <c r="AA36" i="4"/>
  <c r="V37" i="4"/>
  <c r="AA37" i="4"/>
  <c r="V38" i="4"/>
  <c r="AA38" i="4"/>
  <c r="V39" i="4"/>
  <c r="AA39" i="4"/>
  <c r="V40" i="4"/>
  <c r="AA40" i="4"/>
  <c r="AA41" i="4"/>
  <c r="AA42" i="4"/>
  <c r="AA43" i="4"/>
  <c r="AA44" i="4"/>
  <c r="AA45" i="4"/>
  <c r="AA46" i="4"/>
  <c r="B75" i="4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U13" i="3"/>
  <c r="V13" i="3"/>
  <c r="M15" i="3"/>
  <c r="N15" i="3"/>
  <c r="T15" i="3"/>
  <c r="U15" i="3"/>
  <c r="N18" i="3"/>
  <c r="T18" i="3"/>
  <c r="U18" i="3"/>
  <c r="K20" i="3"/>
  <c r="L20" i="3"/>
  <c r="M20" i="3"/>
  <c r="U20" i="3"/>
  <c r="AA21" i="3"/>
  <c r="AA22" i="3"/>
  <c r="K23" i="3"/>
  <c r="L23" i="3"/>
  <c r="M23" i="3"/>
  <c r="N23" i="3"/>
  <c r="T23" i="3"/>
  <c r="U23" i="3"/>
  <c r="AA23" i="3"/>
  <c r="K24" i="3"/>
  <c r="L24" i="3"/>
  <c r="M24" i="3"/>
  <c r="N24" i="3"/>
  <c r="T24" i="3"/>
  <c r="U24" i="3"/>
  <c r="AA24" i="3"/>
  <c r="Y25" i="3"/>
  <c r="AA25" i="3"/>
  <c r="L26" i="3"/>
  <c r="M26" i="3"/>
  <c r="N26" i="3"/>
  <c r="T26" i="3"/>
  <c r="U26" i="3"/>
  <c r="Y26" i="3"/>
  <c r="Z26" i="3"/>
  <c r="AA26" i="3"/>
  <c r="L27" i="3"/>
  <c r="N27" i="3"/>
  <c r="T27" i="3"/>
  <c r="U27" i="3"/>
  <c r="C55" i="3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W13" i="9"/>
  <c r="X13" i="9"/>
  <c r="Y13" i="9"/>
  <c r="Z13" i="9"/>
  <c r="AA13" i="9"/>
  <c r="AB13" i="9"/>
  <c r="AC13" i="9"/>
  <c r="V15" i="9"/>
  <c r="V16" i="9"/>
  <c r="V17" i="9"/>
  <c r="V1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C57" i="9"/>
  <c r="B68" i="10" s="1"/>
  <c r="B74" i="13" s="1"/>
  <c r="B60" i="14" s="1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AI18" i="10"/>
  <c r="AA19" i="10"/>
  <c r="AB19" i="10"/>
  <c r="AC19" i="10"/>
  <c r="AH19" i="10"/>
  <c r="AI19" i="10"/>
  <c r="AJ19" i="10"/>
  <c r="AI20" i="10"/>
  <c r="AI21" i="10"/>
  <c r="AI22" i="10"/>
  <c r="AI23" i="10"/>
  <c r="AI25" i="10"/>
  <c r="AI26" i="10"/>
  <c r="AI27" i="10"/>
  <c r="AI28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J32" i="10"/>
  <c r="V13" i="9" l="1"/>
  <c r="Q20" i="4"/>
</calcChain>
</file>

<file path=xl/comments1.xml><?xml version="1.0" encoding="utf-8"?>
<comments xmlns="http://schemas.openxmlformats.org/spreadsheetml/2006/main">
  <authors>
    <author>yvonne_eu</author>
  </authors>
  <commentList>
    <comment ref="AC23" authorId="0">
      <text>
        <r>
          <rPr>
            <b/>
            <sz val="8"/>
            <color indexed="81"/>
            <rFont val="Tahoma"/>
            <family val="2"/>
          </rPr>
          <t>yvonne_eu:</t>
        </r>
        <r>
          <rPr>
            <sz val="8"/>
            <color indexed="81"/>
            <rFont val="Tahoma"/>
            <family val="2"/>
          </rPr>
          <t xml:space="preserve">
health+life+annuity</t>
        </r>
      </text>
    </comment>
  </commentList>
</comments>
</file>

<file path=xl/sharedStrings.xml><?xml version="1.0" encoding="utf-8"?>
<sst xmlns="http://schemas.openxmlformats.org/spreadsheetml/2006/main" count="513" uniqueCount="253">
  <si>
    <t>Year</t>
  </si>
  <si>
    <t>Notes</t>
  </si>
  <si>
    <t>Investments</t>
  </si>
  <si>
    <t>Net foreign assets</t>
  </si>
  <si>
    <t>TOTAL ASSETS</t>
  </si>
  <si>
    <t>Deposits:</t>
  </si>
  <si>
    <t xml:space="preserve">  Savings</t>
  </si>
  <si>
    <t xml:space="preserve">  Fixed</t>
  </si>
  <si>
    <t>All deposits</t>
  </si>
  <si>
    <t>Other liabilities</t>
  </si>
  <si>
    <r>
      <t>Own funds</t>
    </r>
    <r>
      <rPr>
        <vertAlign val="superscript"/>
        <sz val="10"/>
        <rFont val="Arial"/>
        <family val="2"/>
      </rPr>
      <t>1</t>
    </r>
  </si>
  <si>
    <t>(Capital &amp; surplus)</t>
  </si>
  <si>
    <t>The difference between assets and liabilities.</t>
  </si>
  <si>
    <t>Industry</t>
  </si>
  <si>
    <t>Utilities</t>
  </si>
  <si>
    <t>Construction</t>
  </si>
  <si>
    <t>Other</t>
  </si>
  <si>
    <t>Assets</t>
  </si>
  <si>
    <t>Percent change</t>
  </si>
  <si>
    <t>Liabilities</t>
  </si>
  <si>
    <t xml:space="preserve"> </t>
  </si>
  <si>
    <t>Annual average</t>
  </si>
  <si>
    <t>Total</t>
  </si>
  <si>
    <t>Currency in Circulation</t>
  </si>
  <si>
    <r>
      <t>Limited Duration</t>
    </r>
    <r>
      <rPr>
        <b/>
        <vertAlign val="superscript"/>
        <sz val="10"/>
        <rFont val="Arial"/>
        <family val="2"/>
      </rPr>
      <t>5</t>
    </r>
  </si>
  <si>
    <t>Percent Change</t>
  </si>
  <si>
    <t>All Companies registered under the Companies Law must maintain a registered office</t>
  </si>
  <si>
    <t>Ordinary Company means a local company carrying on business in the Cayman</t>
  </si>
  <si>
    <t>Islands.  In order to trade locally such a company must also obtain a licence under</t>
  </si>
  <si>
    <t xml:space="preserve">Local Companies (Control) Law.  </t>
  </si>
  <si>
    <t>Exempt Company means a company whose proposed activities are to be carried out</t>
  </si>
  <si>
    <t>mainly outside the islands (offshore).  An exempted company enjoys benefits under</t>
  </si>
  <si>
    <t>the law which are not available to other companies under the law, chief of which is an</t>
  </si>
  <si>
    <t>carrying on business within the islands.</t>
  </si>
  <si>
    <t xml:space="preserve">Local Companies (Control) Law. </t>
  </si>
  <si>
    <t xml:space="preserve">  issued during year</t>
  </si>
  <si>
    <t xml:space="preserve">  current at year-end</t>
  </si>
  <si>
    <t>N/A</t>
  </si>
  <si>
    <t>Gross assets at year-end</t>
  </si>
  <si>
    <t>ALL LICENCES</t>
  </si>
  <si>
    <t>Funds</t>
  </si>
  <si>
    <t>Mutual Fund Administrators</t>
  </si>
  <si>
    <t>Gross assets at year-end (US$mil)</t>
  </si>
  <si>
    <t>2002*</t>
  </si>
  <si>
    <t>Balances with Banks &amp; Branches</t>
  </si>
  <si>
    <t>-</t>
  </si>
  <si>
    <t xml:space="preserve">  Motor</t>
  </si>
  <si>
    <t xml:space="preserve">  Property and other</t>
  </si>
  <si>
    <t>Resident</t>
  </si>
  <si>
    <t xml:space="preserve">Gross Written Premiums </t>
  </si>
  <si>
    <t>Property Statistics</t>
  </si>
  <si>
    <t>Motor Statistics</t>
  </si>
  <si>
    <t xml:space="preserve">Liability &amp; Casualty Statistics </t>
  </si>
  <si>
    <t>Marine &amp; Aviation Statistics</t>
  </si>
  <si>
    <t>Health Statistics</t>
  </si>
  <si>
    <t>Workmen's Compensation Stats</t>
  </si>
  <si>
    <t>Life Statistics</t>
  </si>
  <si>
    <t>Annuity &amp; Other Statistics</t>
  </si>
  <si>
    <t>TOTAL</t>
  </si>
  <si>
    <t>Other Assets</t>
  </si>
  <si>
    <t>Fixed Assets</t>
  </si>
  <si>
    <t>Notes &amp; Coins</t>
  </si>
  <si>
    <t xml:space="preserve">    - liability </t>
  </si>
  <si>
    <t xml:space="preserve">    - casualty</t>
  </si>
  <si>
    <t>Loans and Advances Resident &amp; Non Resident</t>
  </si>
  <si>
    <t xml:space="preserve">. . </t>
  </si>
  <si>
    <t>in the Islands.</t>
  </si>
  <si>
    <t xml:space="preserve">  Life, annuity and health</t>
  </si>
  <si>
    <t>years</t>
  </si>
  <si>
    <t>All Deposits</t>
  </si>
  <si>
    <t>Note:</t>
  </si>
  <si>
    <t xml:space="preserve">  Demand</t>
  </si>
  <si>
    <t>Trust licences permit the holders to undertake local and overseas trust business.</t>
  </si>
  <si>
    <t>Foreign Company means a corporate body incorporated outside the islands but is</t>
  </si>
  <si>
    <t>Nominee Trust licences permit the holders to act only as a nominee for its parent.</t>
  </si>
  <si>
    <t>Islands.</t>
  </si>
  <si>
    <t>Quarter 1</t>
  </si>
  <si>
    <t>Quarter 2</t>
  </si>
  <si>
    <t>Quarter 3</t>
  </si>
  <si>
    <t>Quarter 4</t>
  </si>
  <si>
    <t>Domestic Insurance</t>
  </si>
  <si>
    <t xml:space="preserve">  Total</t>
  </si>
  <si>
    <t>Trust Only</t>
  </si>
  <si>
    <t>Nominee Trust</t>
  </si>
  <si>
    <t>Mutual Funds</t>
  </si>
  <si>
    <t>Specialist Debt</t>
  </si>
  <si>
    <t>Secondary Equity</t>
  </si>
  <si>
    <t>Instruments</t>
  </si>
  <si>
    <t>"Class A" licences permit the holders to undertake both local and overseas business.</t>
  </si>
  <si>
    <t>Loans &amp; Advances:</t>
  </si>
  <si>
    <t>Credit to Businesses</t>
  </si>
  <si>
    <t>Manufacturing</t>
  </si>
  <si>
    <t>Services</t>
  </si>
  <si>
    <t>Trade and Commerce</t>
  </si>
  <si>
    <t>Other Financial Corporations</t>
  </si>
  <si>
    <t>Credit to Households</t>
  </si>
  <si>
    <t>Production</t>
  </si>
  <si>
    <t>Class "A" Banking only</t>
  </si>
  <si>
    <r>
      <t>Class "A"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Trust </t>
    </r>
  </si>
  <si>
    <t xml:space="preserve"> Class "B" Banking only</t>
  </si>
  <si>
    <r>
      <t>Class "B"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Trust</t>
    </r>
  </si>
  <si>
    <t>"Class B" licences permit the holders to undertake banking and trust business overseas and limited domestic activity.</t>
  </si>
  <si>
    <t>Non-Resident</t>
  </si>
  <si>
    <t>Gross domestic premiums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</si>
  <si>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Monetary Authority (CIMA)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</si>
  <si>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</si>
  <si>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General Registry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</si>
  <si>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Stock Exchange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</si>
  <si>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 www.cimoney.com.ky</t>
    </r>
  </si>
  <si>
    <t>Prime lending rate for CI$ denominated loans</t>
  </si>
  <si>
    <t>Miscellaneous</t>
  </si>
  <si>
    <t>US$ Million</t>
  </si>
  <si>
    <t>Ordinary Non-Resident</t>
  </si>
  <si>
    <t>Ordinary Resident</t>
  </si>
  <si>
    <t>Exempt</t>
  </si>
  <si>
    <t>Foreign</t>
  </si>
  <si>
    <t>the law which are not available to other companies, chief of which is an</t>
  </si>
  <si>
    <r>
      <t xml:space="preserve"> Insurance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Licences</t>
    </r>
  </si>
  <si>
    <t>Insurance Licences includes approved external and ordinary class A insurers</t>
  </si>
  <si>
    <t>Insurance Agents' licences</t>
  </si>
  <si>
    <t xml:space="preserve">Insurance Agents' licences includes: agents, sub-agents, brokers, insurance managers, offshore brokers, </t>
  </si>
  <si>
    <t>and principal representatives.</t>
  </si>
  <si>
    <t>premium volume.</t>
  </si>
  <si>
    <t>Offshore Insurance Licences</t>
  </si>
  <si>
    <t xml:space="preserve">Gross premiums written may be understated due to net premiums being quoted by some companies. </t>
  </si>
  <si>
    <t>Gross premiums written (US$mil)</t>
  </si>
  <si>
    <t xml:space="preserve">Net retained earnings includes investment income after deduction of claims paid and reserved, and all </t>
  </si>
  <si>
    <t>other expenses.</t>
  </si>
  <si>
    <t>Position at end of year, CI$ (000)</t>
  </si>
  <si>
    <t>Non Profit Organizations</t>
  </si>
  <si>
    <t>Agriculture, fishing and mining</t>
  </si>
  <si>
    <t>Transportation, storage &amp; communication</t>
  </si>
  <si>
    <t>Accommodation, food, bar &amp; entertainment services</t>
  </si>
  <si>
    <t>Education, recreational &amp; other professional services</t>
  </si>
  <si>
    <t>Wholesale &amp; retail sales trade</t>
  </si>
  <si>
    <t>Real estate agents, rental and leasing companies</t>
  </si>
  <si>
    <t>Other business activities (general business activity)</t>
  </si>
  <si>
    <t>Motor vehicles</t>
  </si>
  <si>
    <t>Education and technology</t>
  </si>
  <si>
    <t>Domestic property</t>
  </si>
  <si>
    <t>Domestic banks include local/retail and other Class A banks</t>
  </si>
  <si>
    <t>Total Assets</t>
  </si>
  <si>
    <t>Net Foreign Assets</t>
  </si>
  <si>
    <t>Net Domestic Assets</t>
  </si>
  <si>
    <t>Domestic Credit</t>
  </si>
  <si>
    <t>Broad Liquidity</t>
  </si>
  <si>
    <t>Broad money (KYD) M2</t>
  </si>
  <si>
    <t>FOREX deposits</t>
  </si>
  <si>
    <t>Financial position of Captives</t>
  </si>
  <si>
    <t xml:space="preserve">  Claims on central Government</t>
  </si>
  <si>
    <t xml:space="preserve">  Claims on other public sector</t>
  </si>
  <si>
    <t xml:space="preserve">  Claims on private sector</t>
  </si>
  <si>
    <t xml:space="preserve">  Currency in circulation</t>
  </si>
  <si>
    <t xml:space="preserve">  KYD Deposits</t>
  </si>
  <si>
    <t xml:space="preserve">  Demand Deposits</t>
  </si>
  <si>
    <t xml:space="preserve">  Time and savings deposits</t>
  </si>
  <si>
    <t xml:space="preserve">  Of which: US dollars</t>
  </si>
  <si>
    <r>
      <t xml:space="preserve">Source: </t>
    </r>
    <r>
      <rPr>
        <sz val="10"/>
        <rFont val="Arial"/>
        <family val="2"/>
      </rPr>
      <t>Cayman Islands Monetary Authority (CIMA)</t>
    </r>
  </si>
  <si>
    <t>(Percent)</t>
  </si>
  <si>
    <t>Shareholders equity</t>
  </si>
  <si>
    <t>Miscellaneous include consolidated debt, insurance, medical and travel.</t>
  </si>
  <si>
    <t>Net retained earnings (US$mil)</t>
  </si>
  <si>
    <t>written (CI$mil)</t>
  </si>
  <si>
    <t xml:space="preserve">Gross assets of offshore captives do not represent total consolidated assets, but only those related to operations in the Cayman </t>
  </si>
  <si>
    <t xml:space="preserve">  Administered</t>
  </si>
  <si>
    <t xml:space="preserve">  Licensed</t>
  </si>
  <si>
    <t xml:space="preserve">  Registered</t>
  </si>
  <si>
    <t xml:space="preserve">  Master</t>
  </si>
  <si>
    <t xml:space="preserve">Total </t>
  </si>
  <si>
    <t xml:space="preserve">  Exempted</t>
  </si>
  <si>
    <t xml:space="preserve">  Full</t>
  </si>
  <si>
    <t xml:space="preserve">  Restricted</t>
  </si>
  <si>
    <t>(US$ Billion)</t>
  </si>
  <si>
    <t xml:space="preserve">Gross domestic premiums are recorded before deduction of reinsurance and acquisition costs, and before adjusting for unearned </t>
  </si>
  <si>
    <t>Total liabilities and shareholders equity</t>
  </si>
  <si>
    <t>Other Items (net)</t>
  </si>
  <si>
    <t xml:space="preserve">  Commercial Banks</t>
  </si>
  <si>
    <t xml:space="preserve">     Monetary Authority</t>
  </si>
  <si>
    <t>exemption from any taxes which may be imposed in the islands for 20 years.</t>
  </si>
  <si>
    <t>Master fund is a mutual fund that is incorporated or established in the Islands that holds investments and conducts trading activities and has one or more regulated feeder funds.</t>
  </si>
  <si>
    <t>STATISTICAL COMPENDIUM 2013</t>
  </si>
  <si>
    <t>Sovereign Debt Securities</t>
  </si>
  <si>
    <t>Insurance Linked Security</t>
  </si>
  <si>
    <t>..</t>
  </si>
  <si>
    <t>As per the insurance law 2010, Offshore Insurance Licences now refer to class B, C and D licensees</t>
  </si>
  <si>
    <t>*</t>
  </si>
  <si>
    <t>* Decrease in  assets and liabilities due mainly to changes in Bank of International Settlements (BIS) reporting methodology</t>
  </si>
  <si>
    <t>CI$ millions</t>
  </si>
  <si>
    <t>STATISTICAL COMPENDIUM 2014</t>
  </si>
  <si>
    <t>Liabilities and Shareholders Equity  in Cayman Islands Currency of      
Local Banks, 2010 - 2014</t>
  </si>
  <si>
    <t>Domestic Retail Banks' Assets held in Cayman Islands Currency, 2010 -  2015</t>
  </si>
  <si>
    <t>Insurance Statistics, 2010 -  2015</t>
  </si>
  <si>
    <t>Class A (Domestic) Insurers</t>
  </si>
  <si>
    <t>Class B (international) Insurers</t>
  </si>
  <si>
    <t>Total Insurance Companies</t>
  </si>
  <si>
    <t>Total Class A</t>
  </si>
  <si>
    <t>Captives Excluding SPCs</t>
  </si>
  <si>
    <t>Captives-SPCs Only</t>
  </si>
  <si>
    <t>Total Class B,C,D</t>
  </si>
  <si>
    <t>Monetary Authority</t>
  </si>
  <si>
    <t>Commercial Banks</t>
  </si>
  <si>
    <t xml:space="preserve">Net Domestic Assets </t>
  </si>
  <si>
    <t>Central Government</t>
  </si>
  <si>
    <t xml:space="preserve">Other Public Sector </t>
  </si>
  <si>
    <t>QTR 1</t>
  </si>
  <si>
    <t>QTR 2</t>
  </si>
  <si>
    <t>QTR 3</t>
  </si>
  <si>
    <t>QTR 4</t>
  </si>
  <si>
    <t>Private Sector</t>
  </si>
  <si>
    <t>In  Thousands of Cayman Islands Dollars (CI$'000)</t>
  </si>
  <si>
    <t>Total Liabilities</t>
  </si>
  <si>
    <t>Money Supply (M1)</t>
  </si>
  <si>
    <t>Demand Deposits</t>
  </si>
  <si>
    <t>Savings Deposits</t>
  </si>
  <si>
    <t>Fixed Deposits</t>
  </si>
  <si>
    <t>Foreign Currency Deposits</t>
  </si>
  <si>
    <t>Quasi Money - Residents</t>
  </si>
  <si>
    <t>Foreign Assets</t>
  </si>
  <si>
    <t>Foreign Liabilities</t>
  </si>
  <si>
    <t>Total Investment</t>
  </si>
  <si>
    <t>Total Non-Resident Loans</t>
  </si>
  <si>
    <t>Total Non-resident Deposits</t>
  </si>
  <si>
    <t>Other Liabilities</t>
  </si>
  <si>
    <t>Foreign Assets and Laibilities</t>
  </si>
  <si>
    <t>Loans &amp; Advances to Banks &amp; Branches</t>
  </si>
  <si>
    <t>Total Deposits</t>
  </si>
  <si>
    <t>Residents</t>
  </si>
  <si>
    <t>Non-Residents</t>
  </si>
  <si>
    <t>Total Loans</t>
  </si>
  <si>
    <t>Deposits</t>
  </si>
  <si>
    <t>Loans</t>
  </si>
  <si>
    <t>Retail Debt Security</t>
  </si>
  <si>
    <t>Primary Equity</t>
  </si>
  <si>
    <t xml:space="preserve">                                                 Insurance Statistics, 2010 -  2016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</si>
  <si>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Monetary Authority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Economics &amp; Statistics Office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</si>
  <si>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Cayman Islands Monetary Authority and Economics &amp; Statistics Office</t>
    </r>
  </si>
  <si>
    <t>Money and Banking Survey, 1975 - 2016</t>
  </si>
  <si>
    <t xml:space="preserve"> Average Prime Interest Lending Rate,  1990 - 2016</t>
  </si>
  <si>
    <t>Total Assets of Domestic Retail Banks, 2006 - 2016</t>
  </si>
  <si>
    <t>Total Liabilities of Domestic Retail Banks, 2006 - 2016</t>
  </si>
  <si>
    <t>Total Deposits and Total Loans of Domestic Retail Banks, 2006 - 2016</t>
  </si>
  <si>
    <t>Weighted Average Rate on Loans 1990-2016</t>
  </si>
  <si>
    <t>Foreign Assets and Liabilities of Domestic Retail Banks, 2006 - 2016</t>
  </si>
  <si>
    <r>
      <t>Domestic Bank Loans and Advances to Private Sector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by </t>
    </r>
  </si>
  <si>
    <t>Industry, 2008 - 2016</t>
  </si>
  <si>
    <t>External Assets and Liabilities of All Banks, 1976 - 2016</t>
  </si>
  <si>
    <t>Number of Banks and Trust Licences, 1972 -  2016</t>
  </si>
  <si>
    <t>Number of Company Registrations by Type, 1975 -  2016</t>
  </si>
  <si>
    <t>Number of New Company Registrations by Type, 1970 - 2016</t>
  </si>
  <si>
    <t xml:space="preserve">Number of Mutual Funds and </t>
  </si>
  <si>
    <t>Fund Administrators, 1994 - 2016</t>
  </si>
  <si>
    <t>Number of Stock Listings by Instrument, 2006 -  2016</t>
  </si>
  <si>
    <t>Stock Market Capitalization by Instrument, 2006 - 2016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</si>
</sst>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 #\ \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\ &quot;cents&quot;"/>
    <numFmt numFmtId="169" formatCode="0&quot;est.&quot;"/>
    <numFmt numFmtId="170" formatCode="0.0&quot;est.&quot;"/>
    <numFmt numFmtId="171" formatCode="\(0.0\)"/>
    <numFmt numFmtId="172" formatCode="#,##0;[Red]#,##0"/>
    <numFmt numFmtId="173" formatCode="0.0_);\(0.0\)"/>
    <numFmt numFmtId="174" formatCode="_(&quot;$&quot;* #,##0_);_(&quot;$&quot;* \(#,##0\);_(&quot;$&quot;* &quot;-&quot;??_);_(@_)"/>
    <numFmt numFmtId="175" formatCode="#,##0.0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 Antiqua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0" xfId="0" applyNumberFormat="1"/>
    <xf numFmtId="0" fontId="0" fillId="0" borderId="0" xfId="0" applyBorder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10" fillId="0" borderId="2" xfId="0" applyFont="1" applyBorder="1"/>
    <xf numFmtId="9" fontId="0" fillId="0" borderId="0" xfId="4" applyFo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10" fillId="0" borderId="0" xfId="1" applyNumberFormat="1" applyFont="1"/>
    <xf numFmtId="0" fontId="10" fillId="0" borderId="2" xfId="0" applyFont="1" applyFill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166" fontId="0" fillId="0" borderId="0" xfId="0" applyNumberFormat="1"/>
    <xf numFmtId="0" fontId="0" fillId="0" borderId="0" xfId="0" applyFill="1" applyBorder="1"/>
    <xf numFmtId="0" fontId="16" fillId="0" borderId="0" xfId="0" applyFont="1"/>
    <xf numFmtId="0" fontId="16" fillId="0" borderId="0" xfId="0" applyFont="1" applyFill="1"/>
    <xf numFmtId="3" fontId="16" fillId="0" borderId="0" xfId="0" applyNumberFormat="1" applyFont="1"/>
    <xf numFmtId="0" fontId="6" fillId="0" borderId="0" xfId="0" applyFont="1" applyFill="1" applyBorder="1"/>
    <xf numFmtId="0" fontId="15" fillId="0" borderId="0" xfId="0" applyFont="1"/>
    <xf numFmtId="0" fontId="15" fillId="0" borderId="0" xfId="0" applyFont="1" applyFill="1"/>
    <xf numFmtId="167" fontId="15" fillId="0" borderId="0" xfId="1" applyNumberFormat="1" applyFont="1"/>
    <xf numFmtId="0" fontId="15" fillId="0" borderId="0" xfId="0" applyFont="1" applyAlignment="1">
      <alignment wrapText="1"/>
    </xf>
    <xf numFmtId="174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165" fontId="10" fillId="0" borderId="0" xfId="0" applyNumberFormat="1" applyFont="1"/>
    <xf numFmtId="0" fontId="10" fillId="0" borderId="0" xfId="0" applyFont="1" applyBorder="1"/>
    <xf numFmtId="0" fontId="20" fillId="0" borderId="0" xfId="0" applyFont="1" applyAlignment="1">
      <alignment horizontal="right"/>
    </xf>
    <xf numFmtId="3" fontId="8" fillId="0" borderId="0" xfId="0" applyNumberFormat="1" applyFont="1"/>
    <xf numFmtId="167" fontId="2" fillId="0" borderId="0" xfId="1" applyNumberFormat="1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165" fontId="23" fillId="0" borderId="0" xfId="2" applyNumberFormat="1" applyFont="1"/>
    <xf numFmtId="165" fontId="23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Fill="1" applyBorder="1"/>
    <xf numFmtId="37" fontId="0" fillId="0" borderId="0" xfId="0" applyNumberFormat="1"/>
    <xf numFmtId="167" fontId="0" fillId="0" borderId="0" xfId="1" applyNumberFormat="1" applyFont="1" applyFill="1"/>
    <xf numFmtId="3" fontId="15" fillId="0" borderId="0" xfId="0" applyNumberFormat="1" applyFont="1" applyFill="1"/>
    <xf numFmtId="0" fontId="0" fillId="0" borderId="0" xfId="0" applyFill="1" applyAlignment="1">
      <alignment horizontal="centerContinuous"/>
    </xf>
    <xf numFmtId="0" fontId="10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/>
    <xf numFmtId="3" fontId="0" fillId="0" borderId="0" xfId="0" applyNumberFormat="1" applyFill="1"/>
    <xf numFmtId="0" fontId="8" fillId="0" borderId="0" xfId="0" applyFont="1" applyFill="1" applyBorder="1"/>
    <xf numFmtId="0" fontId="0" fillId="3" borderId="0" xfId="0" applyFill="1" applyBorder="1"/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left"/>
    </xf>
    <xf numFmtId="0" fontId="0" fillId="3" borderId="0" xfId="0" applyFill="1"/>
    <xf numFmtId="167" fontId="31" fillId="3" borderId="0" xfId="1" applyNumberFormat="1" applyFont="1" applyFill="1"/>
    <xf numFmtId="167" fontId="31" fillId="3" borderId="0" xfId="1" applyNumberFormat="1" applyFont="1" applyFill="1" applyAlignment="1">
      <alignment horizontal="right"/>
    </xf>
    <xf numFmtId="167" fontId="31" fillId="3" borderId="0" xfId="1" applyNumberFormat="1" applyFont="1" applyFill="1" applyBorder="1"/>
    <xf numFmtId="167" fontId="31" fillId="3" borderId="1" xfId="1" applyNumberFormat="1" applyFont="1" applyFill="1" applyBorder="1"/>
    <xf numFmtId="0" fontId="8" fillId="3" borderId="0" xfId="0" applyFont="1" applyFill="1"/>
    <xf numFmtId="0" fontId="2" fillId="3" borderId="0" xfId="0" applyFont="1" applyFill="1" applyAlignment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2" xfId="0" applyFont="1" applyFill="1" applyBorder="1"/>
    <xf numFmtId="0" fontId="8" fillId="3" borderId="2" xfId="0" applyFont="1" applyFill="1" applyBorder="1"/>
    <xf numFmtId="0" fontId="0" fillId="3" borderId="0" xfId="0" applyFill="1" applyAlignment="1">
      <alignment horizontal="left" indent="1"/>
    </xf>
    <xf numFmtId="0" fontId="10" fillId="3" borderId="0" xfId="0" applyFont="1" applyFill="1" applyBorder="1"/>
    <xf numFmtId="166" fontId="31" fillId="3" borderId="0" xfId="1" applyNumberFormat="1" applyFont="1" applyFill="1"/>
    <xf numFmtId="0" fontId="0" fillId="3" borderId="0" xfId="0" applyFill="1" applyAlignment="1">
      <alignment horizontal="right"/>
    </xf>
    <xf numFmtId="167" fontId="1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/>
    <xf numFmtId="167" fontId="2" fillId="3" borderId="0" xfId="1" applyNumberFormat="1" applyFont="1" applyFill="1"/>
    <xf numFmtId="37" fontId="1" fillId="3" borderId="0" xfId="1" applyNumberFormat="1" applyFont="1" applyFill="1" applyBorder="1"/>
    <xf numFmtId="167" fontId="1" fillId="3" borderId="0" xfId="1" applyNumberFormat="1" applyFont="1" applyFill="1" applyBorder="1"/>
    <xf numFmtId="37" fontId="2" fillId="3" borderId="0" xfId="1" applyNumberFormat="1" applyFont="1" applyFill="1"/>
    <xf numFmtId="167" fontId="28" fillId="3" borderId="0" xfId="1" applyNumberFormat="1" applyFont="1" applyFill="1"/>
    <xf numFmtId="37" fontId="12" fillId="3" borderId="0" xfId="0" applyNumberFormat="1" applyFont="1" applyFill="1"/>
    <xf numFmtId="37" fontId="13" fillId="3" borderId="0" xfId="0" applyNumberFormat="1" applyFont="1" applyFill="1"/>
    <xf numFmtId="167" fontId="13" fillId="3" borderId="0" xfId="1" applyNumberFormat="1" applyFont="1" applyFill="1"/>
    <xf numFmtId="0" fontId="13" fillId="3" borderId="0" xfId="0" applyFont="1" applyFill="1"/>
    <xf numFmtId="37" fontId="13" fillId="3" borderId="0" xfId="1" applyNumberFormat="1" applyFont="1" applyFill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indent="1"/>
    </xf>
    <xf numFmtId="0" fontId="2" fillId="3" borderId="1" xfId="0" applyFont="1" applyFill="1" applyBorder="1"/>
    <xf numFmtId="0" fontId="2" fillId="3" borderId="0" xfId="0" applyFont="1" applyFill="1" applyBorder="1"/>
    <xf numFmtId="167" fontId="8" fillId="3" borderId="0" xfId="1" applyNumberFormat="1" applyFont="1" applyFill="1"/>
    <xf numFmtId="167" fontId="31" fillId="3" borderId="0" xfId="1" applyNumberFormat="1" applyFont="1" applyFill="1" applyAlignment="1">
      <alignment horizontal="center"/>
    </xf>
    <xf numFmtId="167" fontId="13" fillId="3" borderId="0" xfId="1" applyNumberFormat="1" applyFont="1" applyFill="1" applyAlignment="1">
      <alignment horizontal="center"/>
    </xf>
    <xf numFmtId="167" fontId="10" fillId="3" borderId="0" xfId="1" applyNumberFormat="1" applyFont="1" applyFill="1"/>
    <xf numFmtId="0" fontId="3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 indent="2"/>
    </xf>
    <xf numFmtId="0" fontId="16" fillId="3" borderId="0" xfId="0" applyFont="1" applyFill="1"/>
    <xf numFmtId="0" fontId="0" fillId="3" borderId="0" xfId="0" applyFill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27" fillId="3" borderId="0" xfId="0" applyFont="1" applyFill="1"/>
    <xf numFmtId="0" fontId="27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165" fontId="10" fillId="3" borderId="0" xfId="0" applyNumberFormat="1" applyFont="1" applyFill="1"/>
    <xf numFmtId="0" fontId="12" fillId="3" borderId="0" xfId="0" applyFont="1" applyFill="1"/>
    <xf numFmtId="167" fontId="23" fillId="3" borderId="0" xfId="1" applyNumberFormat="1" applyFont="1" applyFill="1"/>
    <xf numFmtId="165" fontId="23" fillId="3" borderId="0" xfId="0" applyNumberFormat="1" applyFont="1" applyFill="1"/>
    <xf numFmtId="166" fontId="23" fillId="3" borderId="0" xfId="0" applyNumberFormat="1" applyFont="1" applyFill="1"/>
    <xf numFmtId="170" fontId="31" fillId="3" borderId="0" xfId="1" applyNumberFormat="1" applyFont="1" applyFill="1"/>
    <xf numFmtId="166" fontId="31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6" fontId="28" fillId="3" borderId="0" xfId="1" applyNumberFormat="1" applyFont="1" applyFill="1"/>
    <xf numFmtId="166" fontId="8" fillId="3" borderId="0" xfId="1" applyNumberFormat="1" applyFont="1" applyFill="1"/>
    <xf numFmtId="170" fontId="8" fillId="3" borderId="0" xfId="1" applyNumberFormat="1" applyFont="1" applyFill="1"/>
    <xf numFmtId="0" fontId="27" fillId="3" borderId="0" xfId="0" applyFont="1" applyFill="1" applyAlignment="1"/>
    <xf numFmtId="169" fontId="31" fillId="3" borderId="0" xfId="1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67" fontId="0" fillId="0" borderId="0" xfId="1" applyNumberFormat="1" applyFont="1" applyBorder="1"/>
    <xf numFmtId="0" fontId="5" fillId="3" borderId="0" xfId="0" applyFont="1" applyFill="1" applyAlignment="1"/>
    <xf numFmtId="0" fontId="2" fillId="0" borderId="0" xfId="0" applyFont="1" applyFill="1" applyBorder="1"/>
    <xf numFmtId="0" fontId="5" fillId="3" borderId="0" xfId="0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vertical="top"/>
    </xf>
    <xf numFmtId="0" fontId="33" fillId="3" borderId="1" xfId="0" applyFont="1" applyFill="1" applyBorder="1" applyAlignment="1"/>
    <xf numFmtId="0" fontId="33" fillId="3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7" fontId="31" fillId="0" borderId="0" xfId="1" applyNumberFormat="1" applyFont="1" applyFill="1" applyBorder="1"/>
    <xf numFmtId="167" fontId="10" fillId="0" borderId="0" xfId="0" applyNumberFormat="1" applyFont="1" applyFill="1" applyBorder="1"/>
    <xf numFmtId="166" fontId="10" fillId="0" borderId="0" xfId="0" applyNumberFormat="1" applyFont="1" applyFill="1" applyBorder="1"/>
    <xf numFmtId="165" fontId="0" fillId="0" borderId="0" xfId="0" applyNumberFormat="1" applyFill="1" applyBorder="1"/>
    <xf numFmtId="171" fontId="0" fillId="0" borderId="0" xfId="0" applyNumberFormat="1" applyFill="1" applyBorder="1"/>
    <xf numFmtId="166" fontId="31" fillId="0" borderId="0" xfId="1" applyNumberFormat="1" applyFont="1" applyFill="1" applyBorder="1"/>
    <xf numFmtId="166" fontId="2" fillId="0" borderId="0" xfId="1" applyNumberFormat="1" applyFont="1" applyFill="1" applyBorder="1"/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left" indent="1"/>
    </xf>
    <xf numFmtId="166" fontId="8" fillId="0" borderId="0" xfId="0" applyNumberFormat="1" applyFont="1" applyFill="1" applyBorder="1"/>
    <xf numFmtId="6" fontId="8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/>
    <xf numFmtId="166" fontId="8" fillId="0" borderId="0" xfId="1" applyNumberFormat="1" applyFont="1" applyFill="1" applyBorder="1"/>
    <xf numFmtId="6" fontId="2" fillId="0" borderId="0" xfId="0" applyNumberFormat="1" applyFont="1" applyFill="1" applyBorder="1" applyAlignment="1">
      <alignment horizontal="left" indent="1"/>
    </xf>
    <xf numFmtId="6" fontId="0" fillId="0" borderId="0" xfId="0" applyNumberFormat="1" applyFill="1" applyBorder="1" applyAlignment="1">
      <alignment horizontal="left" indent="1"/>
    </xf>
    <xf numFmtId="0" fontId="8" fillId="0" borderId="0" xfId="0" applyFont="1" applyFill="1" applyBorder="1" applyAlignment="1"/>
    <xf numFmtId="166" fontId="8" fillId="0" borderId="0" xfId="1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left" indent="1"/>
    </xf>
    <xf numFmtId="167" fontId="1" fillId="0" borderId="0" xfId="1" applyNumberFormat="1" applyFont="1" applyFill="1" applyBorder="1"/>
    <xf numFmtId="166" fontId="0" fillId="0" borderId="0" xfId="0" applyNumberFormat="1" applyFill="1" applyBorder="1" applyAlignment="1">
      <alignment horizontal="right"/>
    </xf>
    <xf numFmtId="0" fontId="15" fillId="0" borderId="0" xfId="0" applyFont="1" applyFill="1" applyBorder="1"/>
    <xf numFmtId="167" fontId="15" fillId="0" borderId="0" xfId="1" applyNumberFormat="1" applyFont="1" applyFill="1" applyBorder="1"/>
    <xf numFmtId="0" fontId="0" fillId="0" borderId="0" xfId="0" applyFill="1" applyBorder="1" applyAlignment="1">
      <alignment horizontal="left" indent="1"/>
    </xf>
    <xf numFmtId="37" fontId="2" fillId="0" borderId="0" xfId="1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7" fontId="0" fillId="0" borderId="0" xfId="0" applyNumberFormat="1" applyFill="1" applyBorder="1"/>
    <xf numFmtId="43" fontId="0" fillId="0" borderId="0" xfId="1" applyFont="1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2" fontId="10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4" fillId="0" borderId="0" xfId="0" applyFont="1" applyFill="1" applyBorder="1"/>
    <xf numFmtId="0" fontId="5" fillId="0" borderId="0" xfId="0" applyFont="1" applyFill="1" applyBorder="1"/>
    <xf numFmtId="0" fontId="35" fillId="0" borderId="0" xfId="0" applyFont="1" applyFill="1" applyBorder="1"/>
    <xf numFmtId="2" fontId="34" fillId="0" borderId="0" xfId="0" applyNumberFormat="1" applyFont="1" applyFill="1" applyBorder="1"/>
    <xf numFmtId="2" fontId="3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67" fontId="0" fillId="0" borderId="0" xfId="1" applyNumberFormat="1" applyFont="1" applyFill="1" applyBorder="1"/>
    <xf numFmtId="0" fontId="0" fillId="0" borderId="14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Fill="1" applyBorder="1"/>
    <xf numFmtId="167" fontId="0" fillId="0" borderId="8" xfId="1" applyNumberFormat="1" applyFont="1" applyFill="1" applyBorder="1"/>
    <xf numFmtId="167" fontId="0" fillId="0" borderId="15" xfId="1" applyNumberFormat="1" applyFont="1" applyFill="1" applyBorder="1"/>
    <xf numFmtId="0" fontId="2" fillId="0" borderId="1" xfId="0" applyFont="1" applyFill="1" applyBorder="1"/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0" fontId="2" fillId="0" borderId="10" xfId="0" applyFont="1" applyFill="1" applyBorder="1"/>
    <xf numFmtId="167" fontId="0" fillId="0" borderId="10" xfId="1" applyNumberFormat="1" applyFont="1" applyFill="1" applyBorder="1"/>
    <xf numFmtId="0" fontId="2" fillId="0" borderId="0" xfId="0" applyFont="1" applyFill="1"/>
    <xf numFmtId="0" fontId="27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7" fontId="0" fillId="0" borderId="10" xfId="0" applyNumberFormat="1" applyFill="1" applyBorder="1"/>
    <xf numFmtId="167" fontId="0" fillId="0" borderId="1" xfId="0" applyNumberFormat="1" applyFill="1" applyBorder="1"/>
    <xf numFmtId="0" fontId="1" fillId="0" borderId="4" xfId="0" applyFont="1" applyFill="1" applyBorder="1" applyAlignment="1">
      <alignment horizontal="center" wrapText="1"/>
    </xf>
    <xf numFmtId="0" fontId="2" fillId="0" borderId="3" xfId="0" applyFont="1" applyFill="1" applyBorder="1"/>
    <xf numFmtId="0" fontId="0" fillId="0" borderId="0" xfId="0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2" fillId="3" borderId="1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left"/>
    </xf>
    <xf numFmtId="0" fontId="15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 applyBorder="1"/>
    <xf numFmtId="0" fontId="8" fillId="0" borderId="0" xfId="0" applyFont="1" applyFill="1" applyAlignment="1">
      <alignment horizontal="left" indent="1"/>
    </xf>
    <xf numFmtId="43" fontId="0" fillId="0" borderId="0" xfId="0" applyNumberFormat="1" applyFill="1"/>
    <xf numFmtId="2" fontId="0" fillId="0" borderId="0" xfId="0" applyNumberFormat="1" applyFill="1"/>
    <xf numFmtId="0" fontId="8" fillId="0" borderId="0" xfId="0" applyFont="1" applyFill="1" applyAlignment="1">
      <alignment horizontal="left" indent="2"/>
    </xf>
    <xf numFmtId="165" fontId="8" fillId="0" borderId="0" xfId="1" applyNumberFormat="1" applyFont="1" applyFill="1" applyBorder="1"/>
    <xf numFmtId="0" fontId="11" fillId="0" borderId="0" xfId="0" applyFont="1" applyFill="1" applyAlignment="1">
      <alignment horizontal="left" indent="3"/>
    </xf>
    <xf numFmtId="3" fontId="11" fillId="0" borderId="0" xfId="0" applyNumberFormat="1" applyFont="1" applyFill="1" applyBorder="1"/>
    <xf numFmtId="166" fontId="11" fillId="0" borderId="0" xfId="1" applyNumberFormat="1" applyFont="1" applyFill="1" applyBorder="1"/>
    <xf numFmtId="166" fontId="31" fillId="0" borderId="0" xfId="1" applyNumberFormat="1" applyFont="1" applyFill="1"/>
    <xf numFmtId="166" fontId="2" fillId="0" borderId="0" xfId="1" applyNumberFormat="1" applyFont="1" applyFill="1" applyAlignment="1"/>
    <xf numFmtId="3" fontId="13" fillId="0" borderId="0" xfId="0" applyNumberFormat="1" applyFont="1" applyFill="1"/>
    <xf numFmtId="166" fontId="8" fillId="0" borderId="0" xfId="1" applyNumberFormat="1" applyFont="1" applyFill="1" applyAlignment="1"/>
    <xf numFmtId="3" fontId="8" fillId="0" borderId="0" xfId="0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/>
    <xf numFmtId="0" fontId="11" fillId="0" borderId="0" xfId="0" applyFont="1" applyFill="1" applyAlignment="1">
      <alignment horizontal="left" indent="2"/>
    </xf>
    <xf numFmtId="166" fontId="0" fillId="0" borderId="0" xfId="1" applyNumberFormat="1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left" indent="1"/>
    </xf>
    <xf numFmtId="167" fontId="10" fillId="0" borderId="0" xfId="1" applyNumberFormat="1" applyFont="1" applyFill="1"/>
    <xf numFmtId="3" fontId="8" fillId="0" borderId="1" xfId="0" applyNumberFormat="1" applyFont="1" applyFill="1" applyBorder="1"/>
    <xf numFmtId="166" fontId="8" fillId="0" borderId="1" xfId="1" applyNumberFormat="1" applyFont="1" applyFill="1" applyBorder="1"/>
    <xf numFmtId="166" fontId="8" fillId="0" borderId="1" xfId="1" applyNumberFormat="1" applyFont="1" applyFill="1" applyBorder="1" applyAlignment="1"/>
    <xf numFmtId="166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7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165" fontId="15" fillId="0" borderId="0" xfId="0" applyNumberFormat="1" applyFont="1" applyFill="1"/>
    <xf numFmtId="0" fontId="3" fillId="0" borderId="0" xfId="0" applyFont="1" applyFill="1"/>
    <xf numFmtId="0" fontId="2" fillId="0" borderId="0" xfId="0" quotePrefix="1" applyFont="1" applyFill="1"/>
    <xf numFmtId="0" fontId="21" fillId="0" borderId="0" xfId="0" applyFont="1" applyFill="1"/>
    <xf numFmtId="3" fontId="2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173" fontId="0" fillId="0" borderId="0" xfId="0" applyNumberFormat="1" applyFill="1" applyBorder="1"/>
    <xf numFmtId="0" fontId="1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0" fillId="0" borderId="0" xfId="0" applyFill="1" applyAlignment="1">
      <alignment horizontal="right"/>
    </xf>
    <xf numFmtId="167" fontId="2" fillId="0" borderId="0" xfId="1" applyNumberFormat="1" applyFont="1" applyFill="1" applyBorder="1"/>
    <xf numFmtId="0" fontId="15" fillId="0" borderId="1" xfId="0" applyFont="1" applyFill="1" applyBorder="1" applyAlignment="1">
      <alignment horizontal="center"/>
    </xf>
    <xf numFmtId="167" fontId="2" fillId="0" borderId="1" xfId="1" applyNumberFormat="1" applyFont="1" applyFill="1" applyBorder="1"/>
    <xf numFmtId="0" fontId="0" fillId="0" borderId="1" xfId="0" applyFill="1" applyBorder="1"/>
    <xf numFmtId="173" fontId="0" fillId="0" borderId="1" xfId="0" applyNumberFormat="1" applyFill="1" applyBorder="1"/>
    <xf numFmtId="0" fontId="2" fillId="0" borderId="0" xfId="0" applyFont="1" applyFill="1" applyAlignmen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/>
    <xf numFmtId="0" fontId="14" fillId="0" borderId="0" xfId="0" applyFont="1" applyFill="1"/>
    <xf numFmtId="0" fontId="5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wrapText="1"/>
    </xf>
    <xf numFmtId="167" fontId="31" fillId="0" borderId="0" xfId="1" applyNumberFormat="1" applyFont="1" applyFill="1"/>
    <xf numFmtId="167" fontId="31" fillId="0" borderId="0" xfId="1" applyNumberFormat="1" applyFont="1" applyFill="1" applyAlignment="1">
      <alignment horizontal="right"/>
    </xf>
    <xf numFmtId="167" fontId="31" fillId="0" borderId="0" xfId="1" applyNumberFormat="1" applyFont="1" applyFill="1" applyAlignment="1"/>
    <xf numFmtId="167" fontId="31" fillId="0" borderId="0" xfId="1" applyNumberFormat="1" applyFont="1" applyFill="1" applyBorder="1" applyAlignment="1">
      <alignment horizontal="right"/>
    </xf>
    <xf numFmtId="167" fontId="31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/>
    <xf numFmtId="167" fontId="31" fillId="0" borderId="0" xfId="1" applyNumberFormat="1" applyFont="1" applyFill="1" applyAlignment="1">
      <alignment horizontal="center"/>
    </xf>
    <xf numFmtId="167" fontId="25" fillId="0" borderId="0" xfId="1" applyNumberFormat="1" applyFont="1" applyFill="1" applyAlignment="1">
      <alignment horizontal="right"/>
    </xf>
    <xf numFmtId="167" fontId="31" fillId="0" borderId="1" xfId="1" applyNumberFormat="1" applyFont="1" applyFill="1" applyBorder="1"/>
    <xf numFmtId="0" fontId="24" fillId="0" borderId="0" xfId="0" applyFont="1" applyFill="1"/>
    <xf numFmtId="165" fontId="0" fillId="0" borderId="0" xfId="0" applyNumberFormat="1" applyFill="1"/>
    <xf numFmtId="0" fontId="9" fillId="0" borderId="0" xfId="0" applyFont="1" applyFill="1" applyBorder="1" applyAlignment="1">
      <alignment horizontal="center"/>
    </xf>
    <xf numFmtId="167" fontId="9" fillId="0" borderId="0" xfId="1" applyNumberFormat="1" applyFont="1" applyFill="1" applyBorder="1"/>
    <xf numFmtId="173" fontId="31" fillId="0" borderId="0" xfId="1" applyNumberFormat="1" applyFont="1" applyFill="1" applyBorder="1"/>
    <xf numFmtId="173" fontId="31" fillId="0" borderId="1" xfId="1" applyNumberFormat="1" applyFont="1" applyFill="1" applyBorder="1"/>
    <xf numFmtId="0" fontId="36" fillId="0" borderId="5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10" fillId="0" borderId="1" xfId="0" applyFont="1" applyFill="1" applyBorder="1"/>
    <xf numFmtId="0" fontId="8" fillId="0" borderId="2" xfId="0" applyFont="1" applyFill="1" applyBorder="1"/>
    <xf numFmtId="0" fontId="1" fillId="0" borderId="0" xfId="0" applyFont="1" applyFill="1" applyBorder="1"/>
    <xf numFmtId="172" fontId="31" fillId="0" borderId="0" xfId="1" applyNumberFormat="1" applyFont="1" applyFill="1"/>
    <xf numFmtId="0" fontId="1" fillId="0" borderId="0" xfId="0" applyFont="1" applyFill="1"/>
    <xf numFmtId="167" fontId="1" fillId="0" borderId="0" xfId="1" applyNumberFormat="1" applyFont="1" applyFill="1"/>
    <xf numFmtId="0" fontId="0" fillId="0" borderId="0" xfId="0" applyNumberFormat="1" applyFill="1"/>
    <xf numFmtId="167" fontId="2" fillId="0" borderId="0" xfId="1" applyNumberFormat="1" applyFont="1" applyFill="1"/>
    <xf numFmtId="167" fontId="8" fillId="0" borderId="0" xfId="1" applyNumberFormat="1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Continuous"/>
    </xf>
    <xf numFmtId="0" fontId="3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5" fontId="15" fillId="0" borderId="0" xfId="0" applyNumberFormat="1" applyFont="1" applyFill="1"/>
    <xf numFmtId="175" fontId="15" fillId="0" borderId="0" xfId="0" applyNumberFormat="1" applyFont="1" applyFill="1" applyBorder="1"/>
    <xf numFmtId="175" fontId="2" fillId="0" borderId="0" xfId="0" applyNumberFormat="1" applyFont="1" applyFill="1" applyBorder="1" applyAlignment="1">
      <alignment horizontal="right"/>
    </xf>
    <xf numFmtId="175" fontId="15" fillId="0" borderId="1" xfId="0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Chart 12.03: Local Bank Deposits in CI Currency,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2010 - 2015</a:t>
            </a:r>
          </a:p>
        </c:rich>
      </c:tx>
      <c:layout>
        <c:manualLayout>
          <c:xMode val="edge"/>
          <c:yMode val="edge"/>
          <c:x val="0.18991623654698664"/>
          <c:y val="3.47002624671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0938575809626"/>
          <c:y val="0.201582232990107"/>
          <c:w val="0.80336200380941747"/>
          <c:h val="0.5870614173228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'.04 delete'!$AA$31</c:f>
              <c:strCache>
                <c:ptCount val="1"/>
                <c:pt idx="0">
                  <c:v>All Deposits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74605951445489E-3"/>
                  <c:y val="1.484719772804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049710653638174E-3"/>
                  <c:y val="-4.438522107813446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004996363406381E-3"/>
                  <c:y val="8.6745003028467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402144009107296E-3"/>
                  <c:y val="1.7557359176256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74621909977276435"/>
                  <c:y val="0.41324921135646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84369817136470204"/>
                  <c:y val="0.38485804416403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'.04 delete'!$Z$44:$Z$52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'.04 delete'!$AA$44:$AA$52</c:f>
              <c:numCache>
                <c:formatCode>_(* #,##0_);_(* \(#,##0\);_(* "-"??_);_(@_)</c:formatCode>
                <c:ptCount val="6"/>
                <c:pt idx="0">
                  <c:v>937992</c:v>
                </c:pt>
                <c:pt idx="1">
                  <c:v>882440</c:v>
                </c:pt>
                <c:pt idx="2">
                  <c:v>1059336</c:v>
                </c:pt>
                <c:pt idx="3">
                  <c:v>1010464</c:v>
                </c:pt>
                <c:pt idx="4">
                  <c:v>1113548</c:v>
                </c:pt>
                <c:pt idx="5">
                  <c:v>1596444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04640"/>
        <c:axId val="131906176"/>
      </c:barChart>
      <c:catAx>
        <c:axId val="1319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9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06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6890705647440002E-2"/>
              <c:y val="0.3943216636381990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904640"/>
        <c:crosses val="autoZero"/>
        <c:crossBetween val="between"/>
      </c:valAx>
      <c:spPr>
        <a:gradFill rotWithShape="0">
          <a:gsLst>
            <a:gs pos="0">
              <a:srgbClr val="00FFFF"/>
            </a:gs>
            <a:gs pos="100000">
              <a:srgbClr val="FFFF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2</xdr:col>
          <xdr:colOff>333375</xdr:colOff>
          <xdr:row>4</xdr:row>
          <xdr:rowOff>57150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9523</xdr:rowOff>
        </xdr:from>
        <xdr:to>
          <xdr:col>2</xdr:col>
          <xdr:colOff>342900</xdr:colOff>
          <xdr:row>5</xdr:row>
          <xdr:rowOff>95249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19049</xdr:rowOff>
        </xdr:from>
        <xdr:to>
          <xdr:col>1</xdr:col>
          <xdr:colOff>407194</xdr:colOff>
          <xdr:row>3</xdr:row>
          <xdr:rowOff>114299</xdr:rowOff>
        </xdr:to>
        <xdr:sp macro="" textlink="">
          <xdr:nvSpPr>
            <xdr:cNvPr id="24580" name="Object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288208</xdr:colOff>
          <xdr:row>3</xdr:row>
          <xdr:rowOff>152400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103505</xdr:colOff>
          <xdr:row>3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238125</xdr:colOff>
          <xdr:row>3</xdr:row>
          <xdr:rowOff>66675</xdr:rowOff>
        </xdr:to>
        <xdr:sp macro="" textlink="">
          <xdr:nvSpPr>
            <xdr:cNvPr id="408577" name="Object 1" hidden="1">
              <a:extLst>
                <a:ext uri="{63B3BB69-23CF-44E3-9099-C40C66FF867C}">
                  <a14:compatExt spid="_x0000_s408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38100</xdr:rowOff>
        </xdr:from>
        <xdr:to>
          <xdr:col>1</xdr:col>
          <xdr:colOff>133350</xdr:colOff>
          <xdr:row>0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239487</xdr:colOff>
          <xdr:row>3</xdr:row>
          <xdr:rowOff>171450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96022</xdr:colOff>
          <xdr:row>3</xdr:row>
          <xdr:rowOff>171450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323850</xdr:colOff>
          <xdr:row>3</xdr:row>
          <xdr:rowOff>152400</xdr:rowOff>
        </xdr:to>
        <xdr:sp macro="" textlink="">
          <xdr:nvSpPr>
            <xdr:cNvPr id="404481" name="Object 1" hidden="1">
              <a:extLst>
                <a:ext uri="{63B3BB69-23CF-44E3-9099-C40C66FF867C}">
                  <a14:compatExt spid="_x0000_s40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3</xdr:row>
          <xdr:rowOff>152400</xdr:rowOff>
        </xdr:to>
        <xdr:sp macro="" textlink="">
          <xdr:nvSpPr>
            <xdr:cNvPr id="405505" name="Object 1" hidden="1">
              <a:extLst>
                <a:ext uri="{63B3BB69-23CF-44E3-9099-C40C66FF867C}">
                  <a14:compatExt spid="_x0000_s405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3</xdr:row>
          <xdr:rowOff>152400</xdr:rowOff>
        </xdr:to>
        <xdr:sp macro="" textlink="">
          <xdr:nvSpPr>
            <xdr:cNvPr id="406529" name="Object 1" hidden="1">
              <a:extLst>
                <a:ext uri="{63B3BB69-23CF-44E3-9099-C40C66FF867C}">
                  <a14:compatExt spid="_x0000_s40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3</xdr:row>
          <xdr:rowOff>152400</xdr:rowOff>
        </xdr:to>
        <xdr:sp macro="" textlink="">
          <xdr:nvSpPr>
            <xdr:cNvPr id="407553" name="Object 1" hidden="1">
              <a:extLst>
                <a:ext uri="{63B3BB69-23CF-44E3-9099-C40C66FF867C}">
                  <a14:compatExt spid="_x0000_s407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28575</xdr:colOff>
          <xdr:row>4</xdr:row>
          <xdr:rowOff>57150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91440</xdr:rowOff>
    </xdr:from>
    <xdr:to>
      <xdr:col>16</xdr:col>
      <xdr:colOff>160020</xdr:colOff>
      <xdr:row>55</xdr:row>
      <xdr:rowOff>106680</xdr:rowOff>
    </xdr:to>
    <xdr:graphicFrame macro="">
      <xdr:nvGraphicFramePr>
        <xdr:cNvPr id="25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1</xdr:col>
          <xdr:colOff>247650</xdr:colOff>
          <xdr:row>1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302895</xdr:colOff>
          <xdr:row>3</xdr:row>
          <xdr:rowOff>180975</xdr:rowOff>
        </xdr:to>
        <xdr:sp macro="" textlink="">
          <xdr:nvSpPr>
            <xdr:cNvPr id="396289" name="Object 1" hidden="1">
              <a:extLst>
                <a:ext uri="{63B3BB69-23CF-44E3-9099-C40C66FF867C}">
                  <a14:compatExt spid="_x0000_s396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14\money%20&amp;%20banking%20Mas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$m"/>
      <sheetName val="Loans CI$m"/>
      <sheetName val="Money Master"/>
      <sheetName val="Qtr Charts"/>
      <sheetName val="Charts"/>
      <sheetName val="interest rates"/>
      <sheetName val="US$"/>
      <sheetName val="CI$th"/>
      <sheetName val="Loans US$"/>
      <sheetName val="Loans CI$th"/>
      <sheetName val="US$ Loans"/>
      <sheetName val="CI$ Loans"/>
      <sheetName val="Charts adjust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AM46">
            <v>460587.5</v>
          </cell>
        </row>
        <row r="49">
          <cell r="AM49">
            <v>276093.33333333337</v>
          </cell>
        </row>
        <row r="50">
          <cell r="AM50">
            <v>376867.5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7030A0"/>
  </sheetPr>
  <dimension ref="B4:BA68"/>
  <sheetViews>
    <sheetView tabSelected="1" zoomScaleNormal="100" zoomScaleSheetLayoutView="100" workbookViewId="0">
      <pane xSplit="3" ySplit="9" topLeftCell="AO10" activePane="bottomRight" state="frozen"/>
      <selection pane="topRight" activeCell="D1" sqref="D1"/>
      <selection pane="bottomLeft" activeCell="A10" sqref="A10"/>
      <selection pane="bottomRight" activeCell="AO4" sqref="AO4"/>
    </sheetView>
  </sheetViews>
  <sheetFormatPr defaultRowHeight="12.75" outlineLevelCol="1" x14ac:dyDescent="0.2"/>
  <cols>
    <col min="1" max="1" width="2.7109375" style="25" customWidth="1"/>
    <col min="2" max="2" width="7.85546875" style="25" customWidth="1"/>
    <col min="3" max="3" width="45.85546875" style="25" customWidth="1"/>
    <col min="4" max="18" width="8.5703125" style="25" customWidth="1" outlineLevel="1"/>
    <col min="19" max="20" width="8.5703125" style="25" customWidth="1"/>
    <col min="21" max="27" width="8.7109375" style="25" customWidth="1"/>
    <col min="28" max="29" width="8.42578125" style="25" customWidth="1"/>
    <col min="30" max="31" width="8.7109375" style="25" customWidth="1"/>
    <col min="32" max="32" width="9.42578125" style="25" customWidth="1"/>
    <col min="33" max="33" width="8.5703125" style="25" customWidth="1"/>
    <col min="34" max="38" width="12.7109375" style="25" customWidth="1"/>
    <col min="39" max="39" width="12" style="25" customWidth="1"/>
    <col min="40" max="40" width="12.28515625" style="25" customWidth="1"/>
    <col min="41" max="41" width="10.42578125" style="25" customWidth="1"/>
    <col min="42" max="42" width="10" style="25" customWidth="1"/>
    <col min="43" max="43" width="11.28515625" style="25" bestFit="1" customWidth="1"/>
    <col min="44" max="44" width="9.140625" style="25"/>
    <col min="45" max="45" width="11.28515625" style="25" bestFit="1" customWidth="1"/>
    <col min="46" max="51" width="9.140625" style="25"/>
    <col min="52" max="52" width="13" style="25" customWidth="1"/>
    <col min="53" max="53" width="10.28515625" style="25" bestFit="1" customWidth="1"/>
    <col min="54" max="16384" width="9.140625" style="25"/>
  </cols>
  <sheetData>
    <row r="4" spans="2:45" ht="15" x14ac:dyDescent="0.2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9"/>
      <c r="AG4" s="139"/>
      <c r="AH4" s="140"/>
      <c r="AI4" s="138"/>
      <c r="AJ4" s="137"/>
      <c r="AK4" s="137"/>
      <c r="AL4" s="137"/>
      <c r="AM4" s="137"/>
      <c r="AN4" s="137"/>
      <c r="AO4" s="137"/>
      <c r="AP4" s="141"/>
      <c r="AQ4" s="141"/>
      <c r="AR4" s="141"/>
      <c r="AS4" s="141"/>
    </row>
    <row r="5" spans="2:45" ht="9" customHeight="1" x14ac:dyDescent="0.2"/>
    <row r="8" spans="2:45" ht="15.75" x14ac:dyDescent="0.25">
      <c r="B8" s="142"/>
      <c r="C8" s="181" t="s">
        <v>236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</row>
    <row r="10" spans="2:45" x14ac:dyDescent="0.2">
      <c r="AO10" s="143"/>
    </row>
    <row r="11" spans="2:45" x14ac:dyDescent="0.2">
      <c r="C11" s="144"/>
      <c r="D11" s="144">
        <v>1975</v>
      </c>
      <c r="E11" s="144">
        <v>1976</v>
      </c>
      <c r="F11" s="144">
        <v>1977</v>
      </c>
      <c r="G11" s="144">
        <v>1978</v>
      </c>
      <c r="H11" s="144">
        <v>1979</v>
      </c>
      <c r="I11" s="144">
        <v>1980</v>
      </c>
      <c r="J11" s="144">
        <v>1981</v>
      </c>
      <c r="K11" s="144">
        <v>1982</v>
      </c>
      <c r="L11" s="144">
        <v>1983</v>
      </c>
      <c r="M11" s="144">
        <v>1984</v>
      </c>
      <c r="N11" s="144">
        <v>1985</v>
      </c>
      <c r="O11" s="144">
        <v>1986</v>
      </c>
      <c r="P11" s="144">
        <v>1987</v>
      </c>
      <c r="Q11" s="144">
        <v>1988</v>
      </c>
      <c r="R11" s="144">
        <v>1989</v>
      </c>
      <c r="S11" s="144">
        <v>1990</v>
      </c>
      <c r="T11" s="144">
        <v>1991</v>
      </c>
      <c r="U11" s="144">
        <v>1992</v>
      </c>
      <c r="V11" s="144">
        <v>1993</v>
      </c>
      <c r="W11" s="145">
        <v>1994</v>
      </c>
      <c r="X11" s="145">
        <v>1995</v>
      </c>
      <c r="Y11" s="145">
        <v>1996</v>
      </c>
      <c r="Z11" s="145">
        <v>1997</v>
      </c>
      <c r="AA11" s="145">
        <v>1998</v>
      </c>
      <c r="AB11" s="145">
        <v>1999</v>
      </c>
      <c r="AC11" s="146">
        <v>2000</v>
      </c>
      <c r="AD11" s="47">
        <v>2001</v>
      </c>
      <c r="AE11" s="47">
        <v>2002</v>
      </c>
      <c r="AF11" s="47">
        <v>2003</v>
      </c>
      <c r="AG11" s="47">
        <v>2004</v>
      </c>
      <c r="AH11" s="47">
        <v>2005</v>
      </c>
      <c r="AI11" s="47">
        <v>2006</v>
      </c>
      <c r="AJ11" s="47">
        <v>2007</v>
      </c>
      <c r="AK11" s="47">
        <v>2008</v>
      </c>
      <c r="AL11" s="47">
        <v>2009</v>
      </c>
      <c r="AM11" s="47">
        <v>2010</v>
      </c>
      <c r="AN11" s="56">
        <v>2011</v>
      </c>
      <c r="AO11" s="56">
        <v>2012</v>
      </c>
      <c r="AP11" s="56">
        <v>2013</v>
      </c>
      <c r="AQ11" s="56">
        <v>2014</v>
      </c>
      <c r="AR11" s="56">
        <v>2015</v>
      </c>
      <c r="AS11" s="56">
        <v>2016</v>
      </c>
    </row>
    <row r="12" spans="2:45" x14ac:dyDescent="0.2"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2:45" s="47" customFormat="1" x14ac:dyDescent="0.2">
      <c r="C13" s="56" t="s">
        <v>141</v>
      </c>
      <c r="D13" s="148">
        <f t="shared" ref="D13:Z13" si="0">+D30+D32</f>
        <v>2039</v>
      </c>
      <c r="E13" s="148">
        <f t="shared" si="0"/>
        <v>2309</v>
      </c>
      <c r="F13" s="148">
        <f t="shared" si="0"/>
        <v>8359.57</v>
      </c>
      <c r="G13" s="148">
        <f t="shared" si="0"/>
        <v>8748.8189999999995</v>
      </c>
      <c r="H13" s="148">
        <f t="shared" si="0"/>
        <v>13422.189</v>
      </c>
      <c r="I13" s="148">
        <f t="shared" si="0"/>
        <v>18326.206000000002</v>
      </c>
      <c r="J13" s="148">
        <f t="shared" si="0"/>
        <v>21337.923000000003</v>
      </c>
      <c r="K13" s="148">
        <f t="shared" si="0"/>
        <v>21738.512999999999</v>
      </c>
      <c r="L13" s="148">
        <f t="shared" si="0"/>
        <v>23381.766000000003</v>
      </c>
      <c r="M13" s="148">
        <f t="shared" si="0"/>
        <v>23633.453999999998</v>
      </c>
      <c r="N13" s="148">
        <f t="shared" si="0"/>
        <v>25062.334999999999</v>
      </c>
      <c r="O13" s="148">
        <f t="shared" si="0"/>
        <v>31297.222000000002</v>
      </c>
      <c r="P13" s="148">
        <f t="shared" si="0"/>
        <v>38729</v>
      </c>
      <c r="Q13" s="148">
        <f t="shared" si="0"/>
        <v>45000</v>
      </c>
      <c r="R13" s="148">
        <f t="shared" si="0"/>
        <v>57005</v>
      </c>
      <c r="S13" s="148">
        <f t="shared" si="0"/>
        <v>58248</v>
      </c>
      <c r="T13" s="148">
        <f t="shared" si="0"/>
        <v>61128</v>
      </c>
      <c r="U13" s="148">
        <f t="shared" si="0"/>
        <v>65868</v>
      </c>
      <c r="V13" s="148">
        <f t="shared" si="0"/>
        <v>73995</v>
      </c>
      <c r="W13" s="148">
        <f t="shared" si="0"/>
        <v>84187.828609999997</v>
      </c>
      <c r="X13" s="148">
        <f t="shared" si="0"/>
        <v>91326.400740000012</v>
      </c>
      <c r="Y13" s="148">
        <f t="shared" si="0"/>
        <v>113547</v>
      </c>
      <c r="Z13" s="148">
        <f t="shared" si="0"/>
        <v>116264</v>
      </c>
      <c r="AA13" s="148">
        <f t="shared" ref="AA13:AI13" si="1">+AA30+AA32</f>
        <v>146884</v>
      </c>
      <c r="AB13" s="148">
        <f t="shared" si="1"/>
        <v>180389</v>
      </c>
      <c r="AC13" s="148">
        <f t="shared" si="1"/>
        <v>183663</v>
      </c>
      <c r="AD13" s="148">
        <f t="shared" si="1"/>
        <v>203582.663</v>
      </c>
      <c r="AE13" s="148">
        <f t="shared" si="1"/>
        <v>206116.75899999999</v>
      </c>
      <c r="AF13" s="148">
        <f>+AF30+AF32</f>
        <v>403629.8</v>
      </c>
      <c r="AG13" s="148">
        <f>+AG30+AG32</f>
        <v>701959.45</v>
      </c>
      <c r="AH13" s="148">
        <f t="shared" si="1"/>
        <v>379755.52399999998</v>
      </c>
      <c r="AI13" s="148">
        <f t="shared" si="1"/>
        <v>335732.79099999997</v>
      </c>
      <c r="AJ13" s="148">
        <f>+AJ30+AJ32</f>
        <v>321845.10333333333</v>
      </c>
      <c r="AK13" s="149">
        <v>5568.2</v>
      </c>
      <c r="AL13" s="149">
        <v>5949.6</v>
      </c>
      <c r="AM13" s="149">
        <v>5307.4</v>
      </c>
      <c r="AN13" s="149">
        <v>4752.8999999999996</v>
      </c>
      <c r="AO13" s="149">
        <v>5248.7</v>
      </c>
      <c r="AP13" s="149">
        <v>5888.4</v>
      </c>
      <c r="AQ13" s="149">
        <v>4932.3999999999996</v>
      </c>
      <c r="AR13" s="149">
        <v>5898</v>
      </c>
      <c r="AS13" s="149">
        <v>6192.6</v>
      </c>
    </row>
    <row r="14" spans="2:45" x14ac:dyDescent="0.2">
      <c r="C14" s="56" t="s">
        <v>142</v>
      </c>
      <c r="D14" s="150"/>
      <c r="E14" s="150" t="s">
        <v>20</v>
      </c>
      <c r="F14" s="150">
        <f t="shared" ref="F14:P14" si="2">(F13/D13-1)*100</f>
        <v>309.98381559588034</v>
      </c>
      <c r="G14" s="150">
        <f t="shared" si="2"/>
        <v>278.90077955825035</v>
      </c>
      <c r="H14" s="150">
        <f t="shared" si="2"/>
        <v>60.56075850791369</v>
      </c>
      <c r="I14" s="150">
        <f t="shared" si="2"/>
        <v>109.47062683546207</v>
      </c>
      <c r="J14" s="150">
        <f t="shared" si="2"/>
        <v>58.974985376826396</v>
      </c>
      <c r="K14" s="150">
        <f t="shared" si="2"/>
        <v>18.619822346207382</v>
      </c>
      <c r="L14" s="150">
        <f t="shared" si="2"/>
        <v>9.5784533480601564</v>
      </c>
      <c r="M14" s="150">
        <f t="shared" si="2"/>
        <v>8.7169761795574452</v>
      </c>
      <c r="N14" s="150">
        <f t="shared" si="2"/>
        <v>7.1875195397986369</v>
      </c>
      <c r="O14" s="150">
        <f t="shared" si="2"/>
        <v>32.427625686875913</v>
      </c>
      <c r="P14" s="150">
        <f t="shared" si="2"/>
        <v>54.530693169650803</v>
      </c>
      <c r="Q14" s="150">
        <f t="shared" ref="Q14:AI14" si="3">(Q13/P13-1)*100</f>
        <v>16.192000826254226</v>
      </c>
      <c r="R14" s="150">
        <f t="shared" si="3"/>
        <v>26.677777777777777</v>
      </c>
      <c r="S14" s="151">
        <f t="shared" si="3"/>
        <v>2.1805104815367127</v>
      </c>
      <c r="T14" s="150">
        <f t="shared" si="3"/>
        <v>4.9443757725587067</v>
      </c>
      <c r="U14" s="150">
        <f t="shared" si="3"/>
        <v>7.7542206517471568</v>
      </c>
      <c r="V14" s="150">
        <f t="shared" si="3"/>
        <v>12.338312989615584</v>
      </c>
      <c r="W14" s="152">
        <f t="shared" si="3"/>
        <v>13.775023461044666</v>
      </c>
      <c r="X14" s="152">
        <f t="shared" si="3"/>
        <v>8.4793398854238653</v>
      </c>
      <c r="Y14" s="152">
        <f t="shared" si="3"/>
        <v>24.330970102786065</v>
      </c>
      <c r="Z14" s="152">
        <f t="shared" si="3"/>
        <v>2.3928417307370609</v>
      </c>
      <c r="AA14" s="152">
        <f t="shared" si="3"/>
        <v>26.336613225073968</v>
      </c>
      <c r="AB14" s="152">
        <f t="shared" si="3"/>
        <v>22.810517142779329</v>
      </c>
      <c r="AC14" s="152">
        <f t="shared" si="3"/>
        <v>1.8149665445232221</v>
      </c>
      <c r="AD14" s="152">
        <f t="shared" si="3"/>
        <v>10.845768064335214</v>
      </c>
      <c r="AE14" s="152">
        <f t="shared" si="3"/>
        <v>1.2447503940942184</v>
      </c>
      <c r="AF14" s="153">
        <f t="shared" si="3"/>
        <v>95.825803762031796</v>
      </c>
      <c r="AG14" s="153">
        <f t="shared" si="3"/>
        <v>73.911700771350368</v>
      </c>
      <c r="AH14" s="153">
        <f t="shared" si="3"/>
        <v>-45.900646540195446</v>
      </c>
      <c r="AI14" s="153">
        <f t="shared" si="3"/>
        <v>-11.592387791046333</v>
      </c>
      <c r="AJ14" s="153">
        <f>(AJ13/AI13-1)*100</f>
        <v>-4.1365300140332799</v>
      </c>
      <c r="AK14" s="153">
        <v>3579.1</v>
      </c>
      <c r="AL14" s="153">
        <v>3981.1</v>
      </c>
      <c r="AM14" s="153">
        <v>3056.5</v>
      </c>
      <c r="AN14" s="154">
        <v>2446.6999999999998</v>
      </c>
      <c r="AO14" s="154">
        <v>2801.9</v>
      </c>
      <c r="AP14" s="154">
        <v>3249.3</v>
      </c>
      <c r="AQ14" s="154">
        <v>2281.6999999999998</v>
      </c>
      <c r="AR14" s="154">
        <v>3795.4</v>
      </c>
      <c r="AS14" s="154">
        <v>4073.1</v>
      </c>
    </row>
    <row r="15" spans="2:45" x14ac:dyDescent="0.2">
      <c r="C15" s="130" t="s">
        <v>177</v>
      </c>
      <c r="AK15" s="154">
        <v>101.6</v>
      </c>
      <c r="AL15" s="154">
        <v>100.4</v>
      </c>
      <c r="AM15" s="154">
        <v>89.4</v>
      </c>
      <c r="AN15" s="154">
        <v>94.6</v>
      </c>
      <c r="AO15" s="154">
        <v>99.1</v>
      </c>
      <c r="AP15" s="154">
        <v>101.5</v>
      </c>
      <c r="AQ15" s="154">
        <v>100.2</v>
      </c>
      <c r="AR15" s="154">
        <v>110.8</v>
      </c>
      <c r="AS15" s="154">
        <v>122.2</v>
      </c>
    </row>
    <row r="16" spans="2:45" x14ac:dyDescent="0.2">
      <c r="C16" s="155" t="s">
        <v>176</v>
      </c>
      <c r="AK16" s="154">
        <v>3477.5</v>
      </c>
      <c r="AL16" s="154">
        <v>2880.7</v>
      </c>
      <c r="AM16" s="154">
        <v>2967.1</v>
      </c>
      <c r="AN16" s="154">
        <v>2352.1</v>
      </c>
      <c r="AO16" s="154">
        <v>2702.7</v>
      </c>
      <c r="AP16" s="154">
        <v>3147.8</v>
      </c>
      <c r="AQ16" s="154">
        <v>2181.5</v>
      </c>
      <c r="AR16" s="154">
        <v>3684.6</v>
      </c>
      <c r="AS16" s="154">
        <v>3950.9</v>
      </c>
    </row>
    <row r="17" spans="3:45" x14ac:dyDescent="0.2">
      <c r="C17" s="56" t="s">
        <v>143</v>
      </c>
      <c r="AK17" s="156">
        <v>1989.1</v>
      </c>
      <c r="AL17" s="156">
        <v>1968.5</v>
      </c>
      <c r="AM17" s="156">
        <v>2250.9</v>
      </c>
      <c r="AN17" s="156">
        <v>2306.9</v>
      </c>
      <c r="AO17" s="156">
        <v>2446.8000000000002</v>
      </c>
      <c r="AP17" s="156">
        <v>2639.1</v>
      </c>
      <c r="AQ17" s="156">
        <v>2650.7</v>
      </c>
      <c r="AR17" s="156">
        <v>2102.5</v>
      </c>
      <c r="AS17" s="156">
        <v>2119.5</v>
      </c>
    </row>
    <row r="18" spans="3:45" x14ac:dyDescent="0.2">
      <c r="C18" s="157" t="s">
        <v>144</v>
      </c>
      <c r="D18" s="147"/>
      <c r="E18" s="147"/>
      <c r="F18" s="147"/>
      <c r="G18" s="147"/>
      <c r="H18" s="147"/>
      <c r="I18" s="147"/>
      <c r="J18" s="147">
        <v>602.70000000000005</v>
      </c>
      <c r="K18" s="147">
        <v>2505</v>
      </c>
      <c r="L18" s="147">
        <v>3306.7</v>
      </c>
      <c r="M18" s="147">
        <v>4209.7</v>
      </c>
      <c r="N18" s="147">
        <v>4721.1000000000004</v>
      </c>
      <c r="O18" s="147">
        <v>5523.8</v>
      </c>
      <c r="P18" s="147">
        <v>6850</v>
      </c>
      <c r="Q18" s="147">
        <v>8596</v>
      </c>
      <c r="R18" s="147">
        <v>9749</v>
      </c>
      <c r="S18" s="147">
        <v>11405</v>
      </c>
      <c r="T18" s="147">
        <v>9827</v>
      </c>
      <c r="U18" s="147">
        <v>10884</v>
      </c>
      <c r="V18" s="147">
        <v>7987</v>
      </c>
      <c r="W18" s="147">
        <v>12150.2</v>
      </c>
      <c r="X18" s="147">
        <v>10847.5</v>
      </c>
      <c r="Y18" s="147">
        <v>13564</v>
      </c>
      <c r="Z18" s="158">
        <v>15288</v>
      </c>
      <c r="AA18" s="147">
        <v>18423</v>
      </c>
      <c r="AB18" s="147">
        <v>23810</v>
      </c>
      <c r="AC18" s="147">
        <v>19621</v>
      </c>
      <c r="AD18" s="147">
        <v>19248.099999999999</v>
      </c>
      <c r="AE18" s="147">
        <v>19143</v>
      </c>
      <c r="AF18" s="147">
        <v>19444.8</v>
      </c>
      <c r="AG18" s="147">
        <v>31293</v>
      </c>
      <c r="AH18" s="147">
        <v>29245</v>
      </c>
      <c r="AI18" s="147">
        <f>30168400/1000</f>
        <v>30168.400000000001</v>
      </c>
      <c r="AJ18" s="147">
        <v>30498.9</v>
      </c>
      <c r="AK18" s="159">
        <v>2763.1</v>
      </c>
      <c r="AL18" s="159">
        <v>2836.8</v>
      </c>
      <c r="AM18" s="159">
        <v>3008.1</v>
      </c>
      <c r="AN18" s="159">
        <v>3106.6</v>
      </c>
      <c r="AO18" s="159">
        <v>3050.6</v>
      </c>
      <c r="AP18" s="159">
        <v>2974.7</v>
      </c>
      <c r="AQ18" s="159">
        <v>2971.2</v>
      </c>
      <c r="AR18" s="159">
        <v>2981.2</v>
      </c>
      <c r="AS18" s="159">
        <v>3083.9</v>
      </c>
    </row>
    <row r="19" spans="3:45" x14ac:dyDescent="0.2">
      <c r="C19" s="160" t="s">
        <v>149</v>
      </c>
      <c r="D19" s="147"/>
      <c r="E19" s="147"/>
      <c r="F19" s="147"/>
      <c r="G19" s="147"/>
      <c r="H19" s="147"/>
      <c r="I19" s="147"/>
      <c r="J19" s="147">
        <v>845.76</v>
      </c>
      <c r="K19" s="147">
        <v>386.72</v>
      </c>
      <c r="L19" s="147">
        <v>167.16</v>
      </c>
      <c r="M19" s="147">
        <v>168.84</v>
      </c>
      <c r="N19" s="147">
        <v>109.44</v>
      </c>
      <c r="O19" s="147">
        <v>37.200000000000003</v>
      </c>
      <c r="P19" s="147">
        <v>761</v>
      </c>
      <c r="Q19" s="147">
        <v>977</v>
      </c>
      <c r="R19" s="147">
        <v>1234</v>
      </c>
      <c r="S19" s="147">
        <v>1118</v>
      </c>
      <c r="T19" s="147">
        <v>1973</v>
      </c>
      <c r="U19" s="147">
        <v>1303</v>
      </c>
      <c r="V19" s="147">
        <v>5056</v>
      </c>
      <c r="W19" s="147">
        <v>3085.26</v>
      </c>
      <c r="X19" s="147">
        <v>6290.03</v>
      </c>
      <c r="Y19" s="147">
        <v>6186</v>
      </c>
      <c r="Z19" s="158">
        <v>6001</v>
      </c>
      <c r="AA19" s="147">
        <f>5826+51</f>
        <v>5877</v>
      </c>
      <c r="AB19" s="147">
        <f>7533+54</f>
        <v>7587</v>
      </c>
      <c r="AC19" s="147">
        <f>7102+55</f>
        <v>7157</v>
      </c>
      <c r="AD19" s="147">
        <v>6477.6</v>
      </c>
      <c r="AE19" s="147">
        <v>7273.6</v>
      </c>
      <c r="AF19" s="147">
        <v>9424</v>
      </c>
      <c r="AG19" s="158">
        <v>13264.45</v>
      </c>
      <c r="AH19" s="147">
        <f>(15371350+79200)/1000</f>
        <v>15450.55</v>
      </c>
      <c r="AI19" s="147">
        <f>(17394650+85720)/1000</f>
        <v>17480.37</v>
      </c>
      <c r="AJ19" s="147">
        <f>(19243250+95120)/1000</f>
        <v>19338.37</v>
      </c>
      <c r="AK19" s="152">
        <v>271.7</v>
      </c>
      <c r="AL19" s="152">
        <v>172.1</v>
      </c>
      <c r="AM19" s="152">
        <v>219</v>
      </c>
      <c r="AN19" s="152">
        <v>293.7</v>
      </c>
      <c r="AO19" s="152">
        <v>278.3</v>
      </c>
      <c r="AP19" s="152">
        <v>262.7</v>
      </c>
      <c r="AQ19" s="152">
        <v>243.6</v>
      </c>
      <c r="AR19" s="152">
        <v>226.5</v>
      </c>
      <c r="AS19" s="152">
        <v>211</v>
      </c>
    </row>
    <row r="20" spans="3:45" x14ac:dyDescent="0.2">
      <c r="C20" s="160" t="s">
        <v>150</v>
      </c>
      <c r="D20" s="147">
        <v>1050</v>
      </c>
      <c r="E20" s="147">
        <v>1188</v>
      </c>
      <c r="F20" s="147">
        <v>1427</v>
      </c>
      <c r="G20" s="147">
        <v>1315.4</v>
      </c>
      <c r="H20" s="147">
        <v>2367.65</v>
      </c>
      <c r="I20" s="147">
        <v>4372.9750000000004</v>
      </c>
      <c r="J20" s="147">
        <v>4078.7</v>
      </c>
      <c r="K20" s="147">
        <v>2710.9749999999999</v>
      </c>
      <c r="L20" s="147">
        <v>2670.15</v>
      </c>
      <c r="M20" s="147">
        <v>2913.5749999999998</v>
      </c>
      <c r="N20" s="147">
        <v>2939.5749999999998</v>
      </c>
      <c r="O20" s="147">
        <v>3465.5250000000001</v>
      </c>
      <c r="P20" s="147">
        <v>3441</v>
      </c>
      <c r="Q20" s="147">
        <v>3614</v>
      </c>
      <c r="R20" s="147">
        <v>4117</v>
      </c>
      <c r="S20" s="147">
        <v>4684</v>
      </c>
      <c r="T20" s="147">
        <v>4142</v>
      </c>
      <c r="U20" s="147">
        <v>4359</v>
      </c>
      <c r="V20" s="147">
        <v>5386</v>
      </c>
      <c r="W20" s="147">
        <v>5289.8</v>
      </c>
      <c r="X20" s="147">
        <v>5456.8249999999998</v>
      </c>
      <c r="Y20" s="147">
        <v>6414</v>
      </c>
      <c r="Z20" s="158">
        <v>6843</v>
      </c>
      <c r="AA20" s="147">
        <v>7194</v>
      </c>
      <c r="AB20" s="147">
        <v>9722</v>
      </c>
      <c r="AC20" s="147">
        <v>8814</v>
      </c>
      <c r="AD20" s="147">
        <v>9450.6</v>
      </c>
      <c r="AE20" s="147">
        <v>8673</v>
      </c>
      <c r="AF20" s="147">
        <v>7945</v>
      </c>
      <c r="AG20" s="147">
        <v>11152</v>
      </c>
      <c r="AH20" s="147">
        <v>10116</v>
      </c>
      <c r="AI20" s="147">
        <f>9976300/1000</f>
        <v>9976.2999999999993</v>
      </c>
      <c r="AJ20" s="147">
        <v>10474.049999999999</v>
      </c>
      <c r="AK20" s="152">
        <v>54</v>
      </c>
      <c r="AL20" s="152">
        <v>66.5</v>
      </c>
      <c r="AM20" s="152">
        <v>59.8</v>
      </c>
      <c r="AN20" s="152">
        <v>88.6</v>
      </c>
      <c r="AO20" s="152">
        <v>80.400000000000006</v>
      </c>
      <c r="AP20" s="152">
        <v>75.2</v>
      </c>
      <c r="AQ20" s="152">
        <v>70.099999999999994</v>
      </c>
      <c r="AR20" s="152">
        <v>70</v>
      </c>
      <c r="AS20" s="152">
        <v>64</v>
      </c>
    </row>
    <row r="21" spans="3:45" x14ac:dyDescent="0.2">
      <c r="C21" s="160" t="s">
        <v>151</v>
      </c>
      <c r="D21" s="147">
        <v>475</v>
      </c>
      <c r="E21" s="147">
        <v>510</v>
      </c>
      <c r="F21" s="147">
        <v>518.21</v>
      </c>
      <c r="G21" s="147">
        <v>874.95</v>
      </c>
      <c r="H21" s="147">
        <v>663.59</v>
      </c>
      <c r="I21" s="147">
        <v>792.2</v>
      </c>
      <c r="J21" s="147">
        <v>728.91</v>
      </c>
      <c r="K21" s="147">
        <v>762.68</v>
      </c>
      <c r="L21" s="147">
        <v>823.89</v>
      </c>
      <c r="M21" s="147">
        <v>899.89</v>
      </c>
      <c r="N21" s="147">
        <v>930.4</v>
      </c>
      <c r="O21" s="147">
        <v>1070.68</v>
      </c>
      <c r="P21" s="147">
        <v>1292</v>
      </c>
      <c r="Q21" s="147">
        <v>1390</v>
      </c>
      <c r="R21" s="147">
        <v>1576</v>
      </c>
      <c r="S21" s="147">
        <v>1708</v>
      </c>
      <c r="T21" s="147">
        <v>1726</v>
      </c>
      <c r="U21" s="147">
        <v>1818</v>
      </c>
      <c r="V21" s="147">
        <v>1960</v>
      </c>
      <c r="W21" s="147">
        <v>2291.2199999999998</v>
      </c>
      <c r="X21" s="147">
        <v>2511.6999999999998</v>
      </c>
      <c r="Y21" s="147">
        <v>2770</v>
      </c>
      <c r="Z21" s="158">
        <v>2920</v>
      </c>
      <c r="AA21" s="147">
        <v>3029</v>
      </c>
      <c r="AB21" s="147">
        <v>3832</v>
      </c>
      <c r="AC21" s="147">
        <v>3613</v>
      </c>
      <c r="AD21" s="147">
        <v>3739.27</v>
      </c>
      <c r="AE21" s="147">
        <v>3585.98</v>
      </c>
      <c r="AF21" s="147">
        <v>3723</v>
      </c>
      <c r="AG21" s="147">
        <v>3439</v>
      </c>
      <c r="AH21" s="147">
        <v>3668</v>
      </c>
      <c r="AI21" s="147">
        <f>3896260/1000</f>
        <v>3896.26</v>
      </c>
      <c r="AJ21" s="147">
        <v>4094.58</v>
      </c>
      <c r="AK21" s="152">
        <v>2437.5</v>
      </c>
      <c r="AL21" s="152">
        <v>2598.1</v>
      </c>
      <c r="AM21" s="152">
        <v>2729.3</v>
      </c>
      <c r="AN21" s="152">
        <v>2724.3</v>
      </c>
      <c r="AO21" s="152">
        <v>2691.9</v>
      </c>
      <c r="AP21" s="152">
        <v>2636.8</v>
      </c>
      <c r="AQ21" s="152">
        <v>2657.5</v>
      </c>
      <c r="AR21" s="152">
        <v>2684.7</v>
      </c>
      <c r="AS21" s="152">
        <v>2809</v>
      </c>
    </row>
    <row r="22" spans="3:45" x14ac:dyDescent="0.2">
      <c r="C22" s="157" t="s">
        <v>175</v>
      </c>
      <c r="D22" s="147">
        <v>160</v>
      </c>
      <c r="E22" s="147">
        <v>175</v>
      </c>
      <c r="F22" s="147">
        <v>204.63</v>
      </c>
      <c r="G22" s="147">
        <v>242.935</v>
      </c>
      <c r="H22" s="147">
        <v>272.54500000000002</v>
      </c>
      <c r="I22" s="147">
        <v>366.64</v>
      </c>
      <c r="J22" s="147">
        <v>384.22</v>
      </c>
      <c r="K22" s="147">
        <v>405.065</v>
      </c>
      <c r="L22" s="147">
        <v>455.83499999999998</v>
      </c>
      <c r="M22" s="147">
        <v>479.14</v>
      </c>
      <c r="N22" s="147">
        <v>542.48500000000001</v>
      </c>
      <c r="O22" s="147">
        <v>622.68499999999995</v>
      </c>
      <c r="P22" s="147">
        <v>760</v>
      </c>
      <c r="Q22" s="147">
        <v>845</v>
      </c>
      <c r="R22" s="147">
        <v>929</v>
      </c>
      <c r="S22" s="147">
        <v>1030</v>
      </c>
      <c r="T22" s="147">
        <v>1118</v>
      </c>
      <c r="U22" s="147">
        <v>1147</v>
      </c>
      <c r="V22" s="147">
        <v>1309</v>
      </c>
      <c r="W22" s="147">
        <v>1380.0650000000001</v>
      </c>
      <c r="X22" s="147">
        <v>1539.91</v>
      </c>
      <c r="Y22" s="147">
        <v>1656</v>
      </c>
      <c r="Z22" s="158">
        <v>1875</v>
      </c>
      <c r="AA22" s="147">
        <v>1954</v>
      </c>
      <c r="AB22" s="147">
        <v>2247</v>
      </c>
      <c r="AC22" s="147">
        <v>2345</v>
      </c>
      <c r="AD22" s="147">
        <v>2335.71</v>
      </c>
      <c r="AE22" s="147">
        <v>2452.5650000000001</v>
      </c>
      <c r="AF22" s="147">
        <v>2521</v>
      </c>
      <c r="AG22" s="147">
        <v>2741</v>
      </c>
      <c r="AH22" s="147">
        <v>2894</v>
      </c>
      <c r="AI22" s="147">
        <f>3099410/1000</f>
        <v>3099.41</v>
      </c>
      <c r="AJ22" s="147">
        <v>3285.9949999999999</v>
      </c>
      <c r="AK22" s="152">
        <v>-774</v>
      </c>
      <c r="AL22" s="152">
        <v>-868.3</v>
      </c>
      <c r="AM22" s="152">
        <v>-757.2</v>
      </c>
      <c r="AN22" s="152">
        <v>-800.4</v>
      </c>
      <c r="AO22" s="153">
        <v>-603.79999999999995</v>
      </c>
      <c r="AP22" s="153">
        <v>-335.6</v>
      </c>
      <c r="AQ22" s="153">
        <v>-320.5</v>
      </c>
      <c r="AR22" s="153">
        <v>-878.7</v>
      </c>
      <c r="AS22" s="153">
        <v>-964.4</v>
      </c>
    </row>
    <row r="23" spans="3:45" x14ac:dyDescent="0.2">
      <c r="C23" s="161"/>
      <c r="D23" s="147">
        <v>172</v>
      </c>
      <c r="E23" s="147">
        <v>205</v>
      </c>
      <c r="F23" s="147">
        <v>234.631</v>
      </c>
      <c r="G23" s="147">
        <v>276.49400000000003</v>
      </c>
      <c r="H23" s="147">
        <v>343.30399999999997</v>
      </c>
      <c r="I23" s="147">
        <v>440.09100000000001</v>
      </c>
      <c r="J23" s="147">
        <v>525.87300000000005</v>
      </c>
      <c r="K23" s="147">
        <v>598.37300000000005</v>
      </c>
      <c r="L23" s="147">
        <v>662.93100000000004</v>
      </c>
      <c r="M23" s="147">
        <v>750.22400000000005</v>
      </c>
      <c r="N23" s="147">
        <v>856.99</v>
      </c>
      <c r="O23" s="147">
        <v>995.02200000000005</v>
      </c>
      <c r="P23" s="147">
        <v>1173</v>
      </c>
      <c r="Q23" s="147">
        <v>1329</v>
      </c>
      <c r="R23" s="147">
        <v>1489</v>
      </c>
      <c r="S23" s="147">
        <v>1656</v>
      </c>
      <c r="T23" s="147">
        <v>1806</v>
      </c>
      <c r="U23" s="147">
        <v>1946</v>
      </c>
      <c r="V23" s="147">
        <v>2193</v>
      </c>
      <c r="W23" s="147">
        <v>2431.54</v>
      </c>
      <c r="X23" s="147">
        <v>2631.5610000000001</v>
      </c>
      <c r="Y23" s="147">
        <v>2900</v>
      </c>
      <c r="Z23" s="158">
        <v>3198</v>
      </c>
      <c r="AA23" s="147">
        <v>3441</v>
      </c>
      <c r="AB23" s="147">
        <v>3789</v>
      </c>
      <c r="AC23" s="147">
        <v>4011</v>
      </c>
      <c r="AD23" s="147">
        <v>4210.0020000000004</v>
      </c>
      <c r="AE23" s="147">
        <v>4386</v>
      </c>
      <c r="AF23" s="147">
        <v>4683</v>
      </c>
      <c r="AG23" s="147">
        <v>4938</v>
      </c>
      <c r="AH23" s="147">
        <v>5200.9740000000002</v>
      </c>
      <c r="AI23" s="147">
        <f>5484635/1000</f>
        <v>5484.6350000000002</v>
      </c>
      <c r="AJ23" s="147">
        <v>5753.4589999999998</v>
      </c>
      <c r="AK23" s="152"/>
      <c r="AL23" s="152"/>
      <c r="AM23" s="152"/>
      <c r="AN23" s="152"/>
      <c r="AO23" s="152"/>
      <c r="AP23" s="152"/>
      <c r="AQ23" s="152"/>
      <c r="AR23" s="152"/>
      <c r="AS23" s="152"/>
    </row>
    <row r="24" spans="3:45" x14ac:dyDescent="0.2">
      <c r="C24" s="162" t="s">
        <v>145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AA24" s="147"/>
      <c r="AB24" s="147"/>
      <c r="AC24" s="147"/>
      <c r="AI24" s="147"/>
      <c r="AK24" s="156">
        <v>5568.2</v>
      </c>
      <c r="AL24" s="156">
        <v>5949.6</v>
      </c>
      <c r="AM24" s="163">
        <v>5307.4</v>
      </c>
      <c r="AN24" s="156">
        <v>4752.8999999999996</v>
      </c>
      <c r="AO24" s="156">
        <v>5248.7</v>
      </c>
      <c r="AP24" s="156">
        <v>5888.4</v>
      </c>
      <c r="AQ24" s="156">
        <v>4932.3999999999996</v>
      </c>
      <c r="AR24" s="156">
        <v>5898</v>
      </c>
      <c r="AS24" s="156">
        <v>6192.6</v>
      </c>
    </row>
    <row r="25" spans="3:45" x14ac:dyDescent="0.2">
      <c r="C25" s="164" t="s">
        <v>146</v>
      </c>
      <c r="D25" s="147">
        <v>86</v>
      </c>
      <c r="E25" s="147">
        <v>113</v>
      </c>
      <c r="F25" s="147">
        <v>135.84</v>
      </c>
      <c r="G25" s="147">
        <v>166.5</v>
      </c>
      <c r="H25" s="147">
        <v>195.5</v>
      </c>
      <c r="I25" s="147">
        <v>279</v>
      </c>
      <c r="J25" s="147">
        <v>349</v>
      </c>
      <c r="K25" s="147">
        <v>392</v>
      </c>
      <c r="L25" s="147">
        <v>465</v>
      </c>
      <c r="M25" s="147">
        <v>519.99599999999998</v>
      </c>
      <c r="N25" s="147">
        <v>609.39599999999996</v>
      </c>
      <c r="O25" s="147">
        <v>698.15800000000002</v>
      </c>
      <c r="P25" s="147">
        <v>823</v>
      </c>
      <c r="Q25" s="147">
        <v>957</v>
      </c>
      <c r="R25" s="147">
        <v>1094</v>
      </c>
      <c r="S25" s="147">
        <v>1236</v>
      </c>
      <c r="T25" s="147">
        <v>1363</v>
      </c>
      <c r="U25" s="147">
        <v>1487</v>
      </c>
      <c r="V25" s="147">
        <v>1646</v>
      </c>
      <c r="W25" s="147">
        <v>1844.9682499999999</v>
      </c>
      <c r="X25" s="147">
        <v>2039.9737500000001</v>
      </c>
      <c r="Y25" s="147">
        <v>2222</v>
      </c>
      <c r="Z25" s="158">
        <v>2433</v>
      </c>
      <c r="AA25" s="147">
        <v>2676</v>
      </c>
      <c r="AB25" s="147">
        <v>2929</v>
      </c>
      <c r="AC25" s="147">
        <v>3099</v>
      </c>
      <c r="AD25" s="147">
        <v>3227.78</v>
      </c>
      <c r="AE25" s="147">
        <v>3349.45</v>
      </c>
      <c r="AF25" s="147">
        <v>3627</v>
      </c>
      <c r="AG25" s="147">
        <v>3908</v>
      </c>
      <c r="AH25" s="147">
        <v>4217</v>
      </c>
      <c r="AI25" s="147">
        <f>4474914/1000</f>
        <v>4474.9139999999998</v>
      </c>
      <c r="AJ25" s="147">
        <v>4706.8670000000002</v>
      </c>
      <c r="AK25" s="159">
        <v>1017.7</v>
      </c>
      <c r="AL25" s="159">
        <v>962.2</v>
      </c>
      <c r="AM25" s="159">
        <v>981.1</v>
      </c>
      <c r="AN25" s="159">
        <v>935.9</v>
      </c>
      <c r="AO25" s="159">
        <v>1110.4000000000001</v>
      </c>
      <c r="AP25" s="159">
        <v>1106.5999999999999</v>
      </c>
      <c r="AQ25" s="159">
        <v>1209.0999999999999</v>
      </c>
      <c r="AR25" s="159">
        <v>1394.5</v>
      </c>
      <c r="AS25" s="159">
        <v>1571.6</v>
      </c>
    </row>
    <row r="26" spans="3:45" ht="14.25" customHeight="1" x14ac:dyDescent="0.2">
      <c r="C26" s="165" t="s">
        <v>152</v>
      </c>
      <c r="D26" s="147">
        <v>59</v>
      </c>
      <c r="E26" s="147">
        <v>75</v>
      </c>
      <c r="F26" s="147">
        <v>88.257000000000005</v>
      </c>
      <c r="G26" s="147">
        <v>111.4</v>
      </c>
      <c r="H26" s="147">
        <v>133.4</v>
      </c>
      <c r="I26" s="147">
        <v>177</v>
      </c>
      <c r="J26" s="147">
        <v>216.02</v>
      </c>
      <c r="K26" s="147">
        <v>249.4</v>
      </c>
      <c r="L26" s="147">
        <v>287</v>
      </c>
      <c r="M26" s="147">
        <v>325.39100000000002</v>
      </c>
      <c r="N26" s="147">
        <v>362.99099999999999</v>
      </c>
      <c r="O26" s="147">
        <v>404.45600000000002</v>
      </c>
      <c r="P26" s="147">
        <v>467</v>
      </c>
      <c r="Q26" s="147">
        <v>532</v>
      </c>
      <c r="R26" s="147">
        <v>596</v>
      </c>
      <c r="S26" s="147">
        <v>664</v>
      </c>
      <c r="T26" s="147">
        <v>732</v>
      </c>
      <c r="U26" s="147">
        <v>791</v>
      </c>
      <c r="V26" s="147">
        <v>856</v>
      </c>
      <c r="W26" s="147">
        <v>946.18330000000003</v>
      </c>
      <c r="X26" s="147">
        <v>1025.3483000000001</v>
      </c>
      <c r="Y26" s="147">
        <v>1109</v>
      </c>
      <c r="Z26" s="158">
        <v>1203</v>
      </c>
      <c r="AA26" s="147">
        <v>1307</v>
      </c>
      <c r="AB26" s="147">
        <v>1399</v>
      </c>
      <c r="AC26" s="147">
        <v>1478</v>
      </c>
      <c r="AD26" s="147">
        <v>1531.145</v>
      </c>
      <c r="AE26" s="147">
        <v>1576.8779999999999</v>
      </c>
      <c r="AF26" s="147">
        <v>1673</v>
      </c>
      <c r="AG26" s="147">
        <v>1805</v>
      </c>
      <c r="AH26" s="147">
        <v>1960</v>
      </c>
      <c r="AI26" s="147">
        <f>2089627/1000</f>
        <v>2089.627</v>
      </c>
      <c r="AJ26" s="147">
        <v>2183.241</v>
      </c>
      <c r="AK26" s="152">
        <v>83.6</v>
      </c>
      <c r="AL26" s="152">
        <v>87.5</v>
      </c>
      <c r="AM26" s="152">
        <v>85.2</v>
      </c>
      <c r="AN26" s="152">
        <v>89.7</v>
      </c>
      <c r="AO26" s="152">
        <v>86.9</v>
      </c>
      <c r="AP26" s="152">
        <v>96.2</v>
      </c>
      <c r="AQ26" s="152">
        <v>95.5</v>
      </c>
      <c r="AR26" s="152">
        <v>107.7</v>
      </c>
      <c r="AS26" s="152">
        <v>115.6</v>
      </c>
    </row>
    <row r="27" spans="3:45" x14ac:dyDescent="0.2">
      <c r="C27" s="165" t="s">
        <v>153</v>
      </c>
      <c r="D27" s="147">
        <v>21</v>
      </c>
      <c r="E27" s="147">
        <v>25</v>
      </c>
      <c r="F27" s="147">
        <v>29.838000000000001</v>
      </c>
      <c r="G27" s="147">
        <v>36</v>
      </c>
      <c r="H27" s="147">
        <v>45.4</v>
      </c>
      <c r="I27" s="147">
        <v>58.6</v>
      </c>
      <c r="J27" s="147">
        <v>70.2</v>
      </c>
      <c r="K27" s="147">
        <v>81.400000000000006</v>
      </c>
      <c r="L27" s="147">
        <v>94.6</v>
      </c>
      <c r="M27" s="147">
        <v>107.998</v>
      </c>
      <c r="N27" s="147">
        <v>121.798</v>
      </c>
      <c r="O27" s="147">
        <v>136.93</v>
      </c>
      <c r="P27" s="147">
        <v>160</v>
      </c>
      <c r="Q27" s="147">
        <v>185</v>
      </c>
      <c r="R27" s="147">
        <v>209</v>
      </c>
      <c r="S27" s="147">
        <v>234</v>
      </c>
      <c r="T27" s="147">
        <v>264</v>
      </c>
      <c r="U27" s="147">
        <v>289</v>
      </c>
      <c r="V27" s="147">
        <v>316</v>
      </c>
      <c r="W27" s="147">
        <v>348.565</v>
      </c>
      <c r="X27" s="147">
        <v>384.16784999999999</v>
      </c>
      <c r="Y27" s="147">
        <v>419</v>
      </c>
      <c r="Z27" s="25">
        <v>458</v>
      </c>
      <c r="AA27" s="147">
        <v>496</v>
      </c>
      <c r="AB27" s="147">
        <v>543</v>
      </c>
      <c r="AC27" s="147">
        <v>580</v>
      </c>
      <c r="AD27" s="147">
        <v>615.75900000000001</v>
      </c>
      <c r="AE27" s="147">
        <v>650.08600000000001</v>
      </c>
      <c r="AF27" s="147">
        <v>699</v>
      </c>
      <c r="AG27" s="147">
        <v>741</v>
      </c>
      <c r="AH27" s="147">
        <v>804</v>
      </c>
      <c r="AI27" s="147">
        <f>853171/1000</f>
        <v>853.17100000000005</v>
      </c>
      <c r="AJ27" s="147">
        <v>887.42899999999997</v>
      </c>
      <c r="AK27" s="152">
        <v>934.1</v>
      </c>
      <c r="AL27" s="152">
        <v>874.6</v>
      </c>
      <c r="AM27" s="152">
        <v>895.9</v>
      </c>
      <c r="AN27" s="152">
        <v>846.1</v>
      </c>
      <c r="AO27" s="152">
        <v>1023.4</v>
      </c>
      <c r="AP27" s="152">
        <v>1010.5</v>
      </c>
      <c r="AQ27" s="152">
        <v>1113.5999999999999</v>
      </c>
      <c r="AR27" s="152">
        <v>1286.8</v>
      </c>
      <c r="AS27" s="152">
        <v>1456</v>
      </c>
    </row>
    <row r="28" spans="3:45" x14ac:dyDescent="0.2">
      <c r="C28" s="165" t="s">
        <v>154</v>
      </c>
      <c r="D28" s="147">
        <v>16</v>
      </c>
      <c r="E28" s="147">
        <v>18</v>
      </c>
      <c r="F28" s="147">
        <v>21.164000000000001</v>
      </c>
      <c r="G28" s="147">
        <v>25.14</v>
      </c>
      <c r="H28" s="147">
        <v>30.8</v>
      </c>
      <c r="I28" s="147">
        <v>39.700000000000003</v>
      </c>
      <c r="J28" s="147">
        <v>48.54</v>
      </c>
      <c r="K28" s="147">
        <v>56.9</v>
      </c>
      <c r="L28" s="147">
        <v>66.5</v>
      </c>
      <c r="M28" s="147">
        <v>76.7</v>
      </c>
      <c r="N28" s="147">
        <v>87.16</v>
      </c>
      <c r="O28" s="147">
        <v>98.766000000000005</v>
      </c>
      <c r="P28" s="147">
        <v>115</v>
      </c>
      <c r="Q28" s="147">
        <v>132</v>
      </c>
      <c r="R28" s="147">
        <v>149</v>
      </c>
      <c r="S28" s="147">
        <v>168</v>
      </c>
      <c r="T28" s="147">
        <v>188</v>
      </c>
      <c r="U28" s="147">
        <v>207</v>
      </c>
      <c r="V28" s="147">
        <v>233</v>
      </c>
      <c r="W28" s="147">
        <v>257.02706000000001</v>
      </c>
      <c r="X28" s="147">
        <v>278.38484</v>
      </c>
      <c r="Y28" s="147">
        <v>303</v>
      </c>
      <c r="Z28" s="25">
        <v>329</v>
      </c>
      <c r="AA28" s="147">
        <v>358</v>
      </c>
      <c r="AB28" s="147">
        <v>399</v>
      </c>
      <c r="AC28" s="147">
        <v>431</v>
      </c>
      <c r="AD28" s="147">
        <v>461.697</v>
      </c>
      <c r="AE28" s="147">
        <v>489.2</v>
      </c>
      <c r="AF28" s="147">
        <v>526</v>
      </c>
      <c r="AG28" s="147">
        <v>556</v>
      </c>
      <c r="AH28" s="147">
        <v>612</v>
      </c>
      <c r="AI28" s="147">
        <f>665704/1000</f>
        <v>665.70399999999995</v>
      </c>
      <c r="AJ28" s="147">
        <v>708.87900000000002</v>
      </c>
      <c r="AK28" s="152">
        <v>250.7</v>
      </c>
      <c r="AL28" s="152">
        <v>254.5</v>
      </c>
      <c r="AM28" s="152">
        <v>298.89999999999998</v>
      </c>
      <c r="AN28" s="152">
        <v>237.7</v>
      </c>
      <c r="AO28" s="152">
        <v>337</v>
      </c>
      <c r="AP28" s="152">
        <v>403.1</v>
      </c>
      <c r="AQ28" s="152">
        <v>460.6</v>
      </c>
      <c r="AR28" s="152">
        <v>505.3</v>
      </c>
      <c r="AS28" s="152">
        <v>609.9</v>
      </c>
    </row>
    <row r="29" spans="3:45" x14ac:dyDescent="0.2">
      <c r="C29" s="155" t="s">
        <v>155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AI29" s="166"/>
      <c r="AK29" s="154">
        <v>683.3</v>
      </c>
      <c r="AL29" s="154">
        <v>620.1</v>
      </c>
      <c r="AM29" s="167">
        <v>597</v>
      </c>
      <c r="AN29" s="154">
        <v>608.4</v>
      </c>
      <c r="AO29" s="154">
        <v>686.4</v>
      </c>
      <c r="AP29" s="154">
        <v>607.4</v>
      </c>
      <c r="AQ29" s="154">
        <v>653</v>
      </c>
      <c r="AR29" s="154">
        <v>781.6</v>
      </c>
      <c r="AS29" s="154">
        <v>846.1</v>
      </c>
    </row>
    <row r="30" spans="3:45" s="168" customFormat="1" x14ac:dyDescent="0.2">
      <c r="C30" s="162" t="s">
        <v>147</v>
      </c>
      <c r="D30" s="169">
        <f t="shared" ref="D30:R30" si="4">SUM(D18:D28)</f>
        <v>2039</v>
      </c>
      <c r="E30" s="169">
        <f t="shared" si="4"/>
        <v>2309</v>
      </c>
      <c r="F30" s="169">
        <f t="shared" si="4"/>
        <v>2659.5700000000006</v>
      </c>
      <c r="G30" s="169">
        <f t="shared" si="4"/>
        <v>3048.8190000000004</v>
      </c>
      <c r="H30" s="169">
        <f t="shared" si="4"/>
        <v>4052.1890000000008</v>
      </c>
      <c r="I30" s="169">
        <f t="shared" si="4"/>
        <v>6526.206000000001</v>
      </c>
      <c r="J30" s="169">
        <f t="shared" si="4"/>
        <v>7849.9230000000007</v>
      </c>
      <c r="K30" s="169">
        <f t="shared" si="4"/>
        <v>8148.512999999999</v>
      </c>
      <c r="L30" s="169">
        <f t="shared" si="4"/>
        <v>8999.7660000000014</v>
      </c>
      <c r="M30" s="169">
        <f t="shared" si="4"/>
        <v>10451.453999999998</v>
      </c>
      <c r="N30" s="169">
        <f t="shared" si="4"/>
        <v>11281.335000000001</v>
      </c>
      <c r="O30" s="169">
        <f t="shared" si="4"/>
        <v>13053.222</v>
      </c>
      <c r="P30" s="169">
        <f t="shared" si="4"/>
        <v>15842</v>
      </c>
      <c r="Q30" s="169">
        <f t="shared" si="4"/>
        <v>18557</v>
      </c>
      <c r="R30" s="169">
        <f t="shared" si="4"/>
        <v>21142</v>
      </c>
      <c r="S30" s="169">
        <f>SUM(S18:S28)</f>
        <v>23903</v>
      </c>
      <c r="T30" s="169">
        <f t="shared" ref="T30:AE30" si="5">SUM(T18:T28)</f>
        <v>23139</v>
      </c>
      <c r="U30" s="169">
        <f t="shared" si="5"/>
        <v>24231</v>
      </c>
      <c r="V30" s="169">
        <f t="shared" si="5"/>
        <v>26942</v>
      </c>
      <c r="W30" s="169">
        <f t="shared" si="5"/>
        <v>30024.828610000004</v>
      </c>
      <c r="X30" s="169">
        <f t="shared" si="5"/>
        <v>33005.400740000005</v>
      </c>
      <c r="Y30" s="169">
        <f t="shared" si="5"/>
        <v>37543</v>
      </c>
      <c r="Z30" s="169">
        <f t="shared" si="5"/>
        <v>40548</v>
      </c>
      <c r="AA30" s="169">
        <f t="shared" si="5"/>
        <v>44755</v>
      </c>
      <c r="AB30" s="169">
        <f t="shared" si="5"/>
        <v>56257</v>
      </c>
      <c r="AC30" s="169">
        <f t="shared" si="5"/>
        <v>51149</v>
      </c>
      <c r="AD30" s="169">
        <f t="shared" si="5"/>
        <v>51297.662999999986</v>
      </c>
      <c r="AE30" s="169">
        <f t="shared" si="5"/>
        <v>51579.758999999998</v>
      </c>
      <c r="AF30" s="169">
        <f>SUM(AF18:AF28)</f>
        <v>54265.8</v>
      </c>
      <c r="AG30" s="169">
        <f>SUM(AG18:AG29)</f>
        <v>73837.45</v>
      </c>
      <c r="AH30" s="169">
        <f>SUM(AH18:AH28)</f>
        <v>74167.524000000005</v>
      </c>
      <c r="AI30" s="169">
        <f>SUM(AI18:AI28)</f>
        <v>78188.790999999997</v>
      </c>
      <c r="AJ30" s="169">
        <f>SUM(AJ18:AJ28)</f>
        <v>81931.77</v>
      </c>
      <c r="AK30" s="159">
        <v>4550.5</v>
      </c>
      <c r="AL30" s="159">
        <v>4987.5</v>
      </c>
      <c r="AM30" s="159">
        <v>4326.2</v>
      </c>
      <c r="AN30" s="159">
        <v>3817</v>
      </c>
      <c r="AO30" s="159">
        <v>4138.3</v>
      </c>
      <c r="AP30" s="159">
        <v>4781.8</v>
      </c>
      <c r="AQ30" s="159">
        <v>3723.3</v>
      </c>
      <c r="AR30" s="159">
        <v>4503.3999999999996</v>
      </c>
      <c r="AS30" s="159">
        <v>4621</v>
      </c>
    </row>
    <row r="31" spans="3:45" x14ac:dyDescent="0.2">
      <c r="C31" s="155" t="s">
        <v>156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54">
        <v>4218.7</v>
      </c>
      <c r="AL31" s="154">
        <v>4316</v>
      </c>
      <c r="AM31" s="154">
        <v>3632.8</v>
      </c>
      <c r="AN31" s="154">
        <v>3251.6</v>
      </c>
      <c r="AO31" s="154">
        <v>3517.9</v>
      </c>
      <c r="AP31" s="154">
        <v>4219.3</v>
      </c>
      <c r="AQ31" s="154">
        <v>3382</v>
      </c>
      <c r="AR31" s="154">
        <v>4158.6000000000004</v>
      </c>
      <c r="AS31" s="154">
        <v>4216.6000000000004</v>
      </c>
    </row>
    <row r="32" spans="3:45" x14ac:dyDescent="0.2">
      <c r="C32" s="170"/>
      <c r="D32" s="147"/>
      <c r="E32" s="147"/>
      <c r="F32" s="147">
        <v>5700</v>
      </c>
      <c r="G32" s="147">
        <v>5700</v>
      </c>
      <c r="H32" s="147">
        <v>9370</v>
      </c>
      <c r="I32" s="147">
        <v>11800</v>
      </c>
      <c r="J32" s="147">
        <v>13488</v>
      </c>
      <c r="K32" s="147">
        <v>13590</v>
      </c>
      <c r="L32" s="147">
        <v>14382</v>
      </c>
      <c r="M32" s="147">
        <v>13182</v>
      </c>
      <c r="N32" s="147">
        <v>13781</v>
      </c>
      <c r="O32" s="147">
        <v>18244</v>
      </c>
      <c r="P32" s="147">
        <v>22887</v>
      </c>
      <c r="Q32" s="147">
        <v>26443</v>
      </c>
      <c r="R32" s="147">
        <v>35863</v>
      </c>
      <c r="S32" s="147">
        <v>34345</v>
      </c>
      <c r="T32" s="147">
        <v>37989</v>
      </c>
      <c r="U32" s="147">
        <v>41637</v>
      </c>
      <c r="V32" s="147">
        <v>47053</v>
      </c>
      <c r="W32" s="147">
        <v>54163</v>
      </c>
      <c r="X32" s="147">
        <v>58321</v>
      </c>
      <c r="Y32" s="147">
        <v>76004</v>
      </c>
      <c r="Z32" s="147">
        <v>75716</v>
      </c>
      <c r="AA32" s="147">
        <v>102129</v>
      </c>
      <c r="AB32" s="147">
        <v>124132</v>
      </c>
      <c r="AC32" s="147">
        <v>132514</v>
      </c>
      <c r="AD32" s="147">
        <v>152285</v>
      </c>
      <c r="AE32" s="147">
        <v>154537</v>
      </c>
      <c r="AF32" s="171">
        <v>349364</v>
      </c>
      <c r="AG32" s="171">
        <v>628122</v>
      </c>
      <c r="AH32" s="171">
        <v>305588</v>
      </c>
      <c r="AI32" s="171">
        <v>257544</v>
      </c>
      <c r="AJ32" s="171">
        <f>+(309205-21309)/1.2</f>
        <v>239913.33333333334</v>
      </c>
      <c r="AK32" s="158"/>
      <c r="AL32" s="158"/>
      <c r="AM32" s="158"/>
      <c r="AN32" s="147"/>
      <c r="AO32" s="147"/>
      <c r="AP32" s="147"/>
      <c r="AQ32" s="147"/>
      <c r="AR32" s="147"/>
      <c r="AS32" s="147"/>
    </row>
    <row r="33" spans="2:53" x14ac:dyDescent="0.2">
      <c r="C33" s="170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71"/>
      <c r="AG33" s="171"/>
      <c r="AH33" s="171"/>
      <c r="AI33" s="171"/>
      <c r="AJ33" s="171"/>
      <c r="AK33" s="158"/>
      <c r="AL33" s="158"/>
      <c r="AM33" s="158"/>
      <c r="AN33" s="147"/>
      <c r="AO33" s="147"/>
    </row>
    <row r="34" spans="2:53" x14ac:dyDescent="0.2">
      <c r="C34" s="56" t="s">
        <v>157</v>
      </c>
    </row>
    <row r="35" spans="2:53" ht="14.25" x14ac:dyDescent="0.2">
      <c r="B35" s="172"/>
      <c r="C35" s="130"/>
    </row>
    <row r="36" spans="2:53" ht="14.25" x14ac:dyDescent="0.2">
      <c r="B36" s="173"/>
    </row>
    <row r="37" spans="2:53" ht="14.25" x14ac:dyDescent="0.2">
      <c r="B37" s="173"/>
    </row>
    <row r="38" spans="2:53" ht="14.25" x14ac:dyDescent="0.2">
      <c r="B38" s="173"/>
    </row>
    <row r="40" spans="2:53" ht="14.25" x14ac:dyDescent="0.2">
      <c r="B40" s="173"/>
    </row>
    <row r="41" spans="2:53" ht="14.25" x14ac:dyDescent="0.2">
      <c r="B41" s="173"/>
    </row>
    <row r="42" spans="2:53" ht="14.25" x14ac:dyDescent="0.2">
      <c r="B42" s="173"/>
    </row>
    <row r="43" spans="2:53" ht="14.25" x14ac:dyDescent="0.2">
      <c r="B43" s="173"/>
    </row>
    <row r="44" spans="2:53" ht="14.25" x14ac:dyDescent="0.2">
      <c r="B44" s="173"/>
    </row>
    <row r="45" spans="2:53" ht="14.25" x14ac:dyDescent="0.2">
      <c r="B45" s="173"/>
    </row>
    <row r="46" spans="2:53" ht="14.25" x14ac:dyDescent="0.2">
      <c r="B46" s="173"/>
    </row>
    <row r="47" spans="2:53" ht="14.25" x14ac:dyDescent="0.2">
      <c r="B47" s="173"/>
    </row>
    <row r="48" spans="2:53" ht="18" customHeight="1" x14ac:dyDescent="0.2">
      <c r="B48" s="173"/>
      <c r="AP48" s="174"/>
      <c r="AQ48" s="175"/>
      <c r="AR48" s="175"/>
      <c r="AS48" s="175"/>
      <c r="AT48" s="175"/>
      <c r="AU48" s="175"/>
      <c r="AV48" s="175"/>
      <c r="AW48" s="175"/>
      <c r="AX48" s="175"/>
      <c r="AY48" s="175"/>
      <c r="AZ48" s="176"/>
      <c r="BA48" s="176"/>
    </row>
    <row r="49" spans="2:53" ht="15" customHeight="1" x14ac:dyDescent="0.2">
      <c r="B49" s="173"/>
      <c r="AP49" s="177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</row>
    <row r="50" spans="2:53" ht="14.25" x14ac:dyDescent="0.2">
      <c r="B50" s="173"/>
    </row>
    <row r="51" spans="2:53" ht="14.25" x14ac:dyDescent="0.2">
      <c r="B51" s="173"/>
    </row>
    <row r="52" spans="2:53" ht="14.25" x14ac:dyDescent="0.2">
      <c r="B52" s="173"/>
    </row>
    <row r="53" spans="2:53" ht="14.25" x14ac:dyDescent="0.2">
      <c r="B53" s="173"/>
    </row>
    <row r="54" spans="2:53" ht="14.25" x14ac:dyDescent="0.2">
      <c r="B54" s="173"/>
    </row>
    <row r="55" spans="2:53" ht="14.25" x14ac:dyDescent="0.2">
      <c r="B55" s="173"/>
    </row>
    <row r="56" spans="2:53" ht="14.25" x14ac:dyDescent="0.2">
      <c r="B56" s="173"/>
    </row>
    <row r="57" spans="2:53" ht="14.25" x14ac:dyDescent="0.2">
      <c r="B57" s="173"/>
    </row>
    <row r="58" spans="2:53" ht="14.25" x14ac:dyDescent="0.2">
      <c r="B58" s="173"/>
      <c r="C58" s="178"/>
    </row>
    <row r="59" spans="2:53" ht="14.25" x14ac:dyDescent="0.2">
      <c r="B59" s="173"/>
    </row>
    <row r="60" spans="2:53" ht="14.25" x14ac:dyDescent="0.2">
      <c r="B60" s="173"/>
    </row>
    <row r="61" spans="2:53" ht="14.25" x14ac:dyDescent="0.2">
      <c r="B61" s="173"/>
    </row>
    <row r="62" spans="2:53" ht="14.25" x14ac:dyDescent="0.2">
      <c r="B62" s="173"/>
    </row>
    <row r="63" spans="2:53" ht="14.25" x14ac:dyDescent="0.2">
      <c r="B63" s="173"/>
    </row>
    <row r="64" spans="2:53" ht="14.25" x14ac:dyDescent="0.2">
      <c r="B64" s="173"/>
      <c r="C64" s="177"/>
    </row>
    <row r="65" spans="2:41" ht="14.25" x14ac:dyDescent="0.2">
      <c r="B65" s="173"/>
      <c r="C65" s="177"/>
    </row>
    <row r="66" spans="2:41" x14ac:dyDescent="0.2"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</row>
    <row r="67" spans="2:41" ht="9" customHeight="1" x14ac:dyDescent="0.2"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 spans="2:41" x14ac:dyDescent="0.2">
      <c r="B68" s="217">
        <f>'.02'!C57+1</f>
        <v>2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180"/>
    </row>
  </sheetData>
  <mergeCells count="1">
    <mergeCell ref="B68:AN68"/>
  </mergeCells>
  <phoneticPr fontId="7" type="noConversion"/>
  <printOptions horizontalCentered="1"/>
  <pageMargins left="1" right="1" top="1" bottom="0.93" header="0.5" footer="0.24"/>
  <pageSetup scale="6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2</xdr:col>
                <xdr:colOff>333375</xdr:colOff>
                <xdr:row>4</xdr:row>
                <xdr:rowOff>57150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4:AQ87"/>
  <sheetViews>
    <sheetView zoomScaleNormal="100" zoomScaleSheetLayoutView="100" workbookViewId="0">
      <selection activeCell="N8" sqref="N8"/>
    </sheetView>
  </sheetViews>
  <sheetFormatPr defaultColWidth="9.140625" defaultRowHeight="12.75" x14ac:dyDescent="0.2"/>
  <cols>
    <col min="1" max="1" width="2.7109375" style="17" customWidth="1"/>
    <col min="2" max="2" width="8.140625" style="17" customWidth="1"/>
    <col min="3" max="3" width="12.28515625" style="17" customWidth="1"/>
    <col min="4" max="4" width="12.42578125" style="17" customWidth="1"/>
    <col min="5" max="5" width="1.5703125" style="17" customWidth="1"/>
    <col min="6" max="6" width="13.28515625" style="17" customWidth="1"/>
    <col min="7" max="7" width="3.7109375" style="17" customWidth="1"/>
    <col min="8" max="8" width="12.85546875" style="17" customWidth="1"/>
    <col min="9" max="9" width="1.42578125" style="17" customWidth="1"/>
    <col min="10" max="10" width="10.7109375" style="17" customWidth="1"/>
    <col min="11" max="11" width="1.7109375" style="17" customWidth="1"/>
    <col min="12" max="12" width="3.140625" style="17" customWidth="1"/>
    <col min="13" max="14" width="12.85546875" style="17" bestFit="1" customWidth="1"/>
    <col min="15" max="15" width="9.140625" style="17"/>
    <col min="16" max="16" width="11.28515625" style="17" customWidth="1"/>
    <col min="17" max="17" width="13.28515625" style="17" customWidth="1"/>
    <col min="18" max="16384" width="9.140625" style="17"/>
  </cols>
  <sheetData>
    <row r="4" spans="2:43" ht="15" x14ac:dyDescent="0.25">
      <c r="H4" s="31"/>
      <c r="I4" s="31"/>
      <c r="J4" s="31"/>
      <c r="K4" s="136"/>
      <c r="L4" s="136"/>
    </row>
    <row r="5" spans="2:43" ht="9" customHeight="1" x14ac:dyDescent="0.2"/>
    <row r="7" spans="2:43" x14ac:dyDescent="0.2">
      <c r="O7" s="209"/>
    </row>
    <row r="8" spans="2:43" ht="15.75" x14ac:dyDescent="0.25">
      <c r="B8" s="249"/>
      <c r="C8" s="245" t="s">
        <v>245</v>
      </c>
      <c r="D8" s="245"/>
      <c r="E8" s="245"/>
      <c r="F8" s="245"/>
      <c r="G8" s="245"/>
      <c r="H8" s="245"/>
      <c r="I8" s="245"/>
      <c r="J8" s="245"/>
    </row>
    <row r="10" spans="2:43" x14ac:dyDescent="0.2">
      <c r="J10" s="293" t="s">
        <v>111</v>
      </c>
    </row>
    <row r="11" spans="2:43" ht="25.5" x14ac:dyDescent="0.2">
      <c r="C11" s="294" t="s">
        <v>0</v>
      </c>
      <c r="D11" s="295" t="s">
        <v>17</v>
      </c>
      <c r="E11" s="294"/>
      <c r="F11" s="295" t="s">
        <v>18</v>
      </c>
      <c r="G11" s="294"/>
      <c r="H11" s="295" t="s">
        <v>19</v>
      </c>
      <c r="I11" s="294"/>
      <c r="J11" s="295" t="s">
        <v>18</v>
      </c>
    </row>
    <row r="12" spans="2:43" x14ac:dyDescent="0.2">
      <c r="C12" s="25"/>
      <c r="D12" s="25"/>
      <c r="E12" s="25"/>
      <c r="F12" s="25"/>
      <c r="G12" s="25"/>
      <c r="H12" s="25"/>
      <c r="I12" s="25"/>
      <c r="J12" s="25"/>
    </row>
    <row r="13" spans="2:43" x14ac:dyDescent="0.2">
      <c r="C13" s="180">
        <v>1976</v>
      </c>
      <c r="D13" s="147">
        <v>21997</v>
      </c>
      <c r="E13" s="147"/>
      <c r="F13" s="150"/>
      <c r="G13" s="25"/>
      <c r="H13" s="147">
        <v>22064</v>
      </c>
      <c r="I13" s="147"/>
      <c r="J13" s="25"/>
      <c r="AQ13" s="17">
        <v>4932.3999999999996</v>
      </c>
    </row>
    <row r="14" spans="2:43" x14ac:dyDescent="0.2">
      <c r="C14" s="180">
        <v>1977</v>
      </c>
      <c r="D14" s="147">
        <v>31487</v>
      </c>
      <c r="E14" s="147"/>
      <c r="F14" s="296">
        <f t="shared" ref="F14:F41" si="0">((D14/D13)-1)*100</f>
        <v>43.142246670000461</v>
      </c>
      <c r="G14" s="151"/>
      <c r="H14" s="147">
        <v>31133</v>
      </c>
      <c r="I14" s="147"/>
      <c r="J14" s="296">
        <f t="shared" ref="J14:J38" si="1">(H14/H13-1)*100</f>
        <v>41.103154459753455</v>
      </c>
      <c r="AQ14" s="17">
        <v>2281.6999999999998</v>
      </c>
    </row>
    <row r="15" spans="2:43" x14ac:dyDescent="0.2">
      <c r="C15" s="180">
        <v>1978</v>
      </c>
      <c r="D15" s="147">
        <v>49033</v>
      </c>
      <c r="E15" s="147"/>
      <c r="F15" s="296">
        <f t="shared" si="0"/>
        <v>55.724584749261609</v>
      </c>
      <c r="G15" s="151"/>
      <c r="H15" s="147">
        <v>48585</v>
      </c>
      <c r="I15" s="147"/>
      <c r="J15" s="296">
        <f t="shared" si="1"/>
        <v>56.05627469244854</v>
      </c>
      <c r="AQ15" s="17">
        <v>100.2</v>
      </c>
    </row>
    <row r="16" spans="2:43" x14ac:dyDescent="0.2">
      <c r="C16" s="180">
        <v>1979</v>
      </c>
      <c r="D16" s="147">
        <v>61811</v>
      </c>
      <c r="E16" s="147"/>
      <c r="F16" s="296">
        <f t="shared" si="0"/>
        <v>26.060000407888563</v>
      </c>
      <c r="G16" s="151"/>
      <c r="H16" s="147">
        <v>64648</v>
      </c>
      <c r="I16" s="147"/>
      <c r="J16" s="296">
        <f t="shared" si="1"/>
        <v>33.061644540496026</v>
      </c>
      <c r="AQ16" s="17">
        <v>2181.5</v>
      </c>
    </row>
    <row r="17" spans="3:43" x14ac:dyDescent="0.2">
      <c r="C17" s="180">
        <v>1980</v>
      </c>
      <c r="D17" s="147">
        <v>84527</v>
      </c>
      <c r="E17" s="147"/>
      <c r="F17" s="296">
        <f t="shared" si="0"/>
        <v>36.750740159518536</v>
      </c>
      <c r="G17" s="151"/>
      <c r="H17" s="147">
        <v>83401</v>
      </c>
      <c r="I17" s="147"/>
      <c r="J17" s="296">
        <f t="shared" si="1"/>
        <v>29.00785793837397</v>
      </c>
      <c r="AQ17" s="17">
        <v>2650.7</v>
      </c>
    </row>
    <row r="18" spans="3:43" x14ac:dyDescent="0.2">
      <c r="C18" s="180">
        <v>1981</v>
      </c>
      <c r="D18" s="147">
        <v>109572</v>
      </c>
      <c r="E18" s="147"/>
      <c r="F18" s="296">
        <f t="shared" si="0"/>
        <v>29.629585812817204</v>
      </c>
      <c r="G18" s="151"/>
      <c r="H18" s="147">
        <v>107919</v>
      </c>
      <c r="I18" s="147"/>
      <c r="J18" s="296">
        <f t="shared" si="1"/>
        <v>29.397729044016252</v>
      </c>
      <c r="AQ18" s="17">
        <v>2971.2</v>
      </c>
    </row>
    <row r="19" spans="3:43" x14ac:dyDescent="0.2">
      <c r="C19" s="180">
        <v>1982</v>
      </c>
      <c r="D19" s="147">
        <v>125958</v>
      </c>
      <c r="E19" s="147"/>
      <c r="F19" s="296">
        <f t="shared" si="0"/>
        <v>14.954550432592262</v>
      </c>
      <c r="G19" s="151"/>
      <c r="H19" s="147">
        <v>120069</v>
      </c>
      <c r="I19" s="147"/>
      <c r="J19" s="296">
        <f t="shared" si="1"/>
        <v>11.258443832874665</v>
      </c>
      <c r="AQ19" s="17">
        <v>243.6</v>
      </c>
    </row>
    <row r="20" spans="3:43" x14ac:dyDescent="0.2">
      <c r="C20" s="180">
        <v>1983</v>
      </c>
      <c r="D20" s="147">
        <v>131281</v>
      </c>
      <c r="E20" s="147"/>
      <c r="F20" s="296">
        <f t="shared" si="0"/>
        <v>4.2260118452182471</v>
      </c>
      <c r="G20" s="151"/>
      <c r="H20" s="147">
        <v>130448</v>
      </c>
      <c r="I20" s="147"/>
      <c r="J20" s="296">
        <f t="shared" si="1"/>
        <v>8.6441962538207129</v>
      </c>
      <c r="AQ20" s="17">
        <v>70.099999999999994</v>
      </c>
    </row>
    <row r="21" spans="3:43" x14ac:dyDescent="0.2">
      <c r="C21" s="180">
        <v>1984</v>
      </c>
      <c r="D21" s="147">
        <v>150626</v>
      </c>
      <c r="E21" s="147"/>
      <c r="F21" s="296">
        <f t="shared" si="0"/>
        <v>14.735567218409361</v>
      </c>
      <c r="G21" s="151"/>
      <c r="H21" s="147">
        <v>149418</v>
      </c>
      <c r="I21" s="147"/>
      <c r="J21" s="296">
        <f t="shared" si="1"/>
        <v>14.542193057770136</v>
      </c>
      <c r="AQ21" s="17">
        <v>2657.5</v>
      </c>
    </row>
    <row r="22" spans="3:43" x14ac:dyDescent="0.2">
      <c r="C22" s="180">
        <v>1985</v>
      </c>
      <c r="D22" s="147">
        <v>175592</v>
      </c>
      <c r="E22" s="147"/>
      <c r="F22" s="296">
        <f>((D22/D21)-1)*100</f>
        <v>16.574827718986107</v>
      </c>
      <c r="G22" s="151"/>
      <c r="H22" s="147">
        <v>172592</v>
      </c>
      <c r="I22" s="147"/>
      <c r="J22" s="296">
        <f>(H22/H21-1)*100</f>
        <v>15.509510233037528</v>
      </c>
      <c r="AQ22" s="17">
        <v>-320.5</v>
      </c>
    </row>
    <row r="23" spans="3:43" x14ac:dyDescent="0.2">
      <c r="C23" s="180">
        <v>1986</v>
      </c>
      <c r="D23" s="147">
        <v>202188</v>
      </c>
      <c r="E23" s="147"/>
      <c r="F23" s="296">
        <f t="shared" si="0"/>
        <v>15.146475921454282</v>
      </c>
      <c r="G23" s="151"/>
      <c r="H23" s="147">
        <v>193300</v>
      </c>
      <c r="I23" s="147"/>
      <c r="J23" s="296">
        <f t="shared" si="1"/>
        <v>11.998238620561796</v>
      </c>
    </row>
    <row r="24" spans="3:43" x14ac:dyDescent="0.2">
      <c r="C24" s="180">
        <v>1987</v>
      </c>
      <c r="D24" s="147">
        <v>249909</v>
      </c>
      <c r="E24" s="147"/>
      <c r="F24" s="296">
        <f t="shared" si="0"/>
        <v>23.602290937147608</v>
      </c>
      <c r="G24" s="151"/>
      <c r="H24" s="147">
        <v>243196</v>
      </c>
      <c r="I24" s="147"/>
      <c r="J24" s="296">
        <f t="shared" si="1"/>
        <v>25.812726332126235</v>
      </c>
      <c r="AQ24" s="17">
        <v>4932.3999999999996</v>
      </c>
    </row>
    <row r="25" spans="3:43" x14ac:dyDescent="0.2">
      <c r="C25" s="180">
        <v>1988</v>
      </c>
      <c r="D25" s="147">
        <v>281032</v>
      </c>
      <c r="E25" s="147"/>
      <c r="F25" s="296">
        <f t="shared" si="0"/>
        <v>12.45373315886984</v>
      </c>
      <c r="G25" s="151"/>
      <c r="H25" s="147">
        <v>246039</v>
      </c>
      <c r="I25" s="147"/>
      <c r="J25" s="296">
        <f t="shared" si="1"/>
        <v>1.1690159377621301</v>
      </c>
      <c r="AQ25" s="17">
        <v>1209.0999999999999</v>
      </c>
    </row>
    <row r="26" spans="3:43" x14ac:dyDescent="0.2">
      <c r="C26" s="180">
        <v>1989</v>
      </c>
      <c r="D26" s="147">
        <v>350637</v>
      </c>
      <c r="E26" s="147"/>
      <c r="F26" s="296">
        <f t="shared" si="0"/>
        <v>24.76764211904694</v>
      </c>
      <c r="G26" s="151"/>
      <c r="H26" s="147">
        <v>339822</v>
      </c>
      <c r="I26" s="147"/>
      <c r="J26" s="296">
        <f t="shared" si="1"/>
        <v>38.117127772426329</v>
      </c>
      <c r="AQ26" s="17">
        <v>95.5</v>
      </c>
    </row>
    <row r="27" spans="3:43" x14ac:dyDescent="0.2">
      <c r="C27" s="180"/>
      <c r="D27" s="147"/>
      <c r="E27" s="147"/>
      <c r="F27" s="296"/>
      <c r="G27" s="151"/>
      <c r="H27" s="147"/>
      <c r="I27" s="147"/>
      <c r="J27" s="296"/>
      <c r="AQ27" s="17">
        <v>1113.5999999999999</v>
      </c>
    </row>
    <row r="28" spans="3:43" x14ac:dyDescent="0.2">
      <c r="C28" s="180">
        <v>1990</v>
      </c>
      <c r="D28" s="147">
        <v>432781</v>
      </c>
      <c r="E28" s="147"/>
      <c r="F28" s="296">
        <f>((D28/D26)-1)*100</f>
        <v>23.427077005564168</v>
      </c>
      <c r="G28" s="151"/>
      <c r="H28" s="147">
        <v>430200</v>
      </c>
      <c r="I28" s="147"/>
      <c r="J28" s="296">
        <f>(H28/H26-1)*100</f>
        <v>26.595688330949741</v>
      </c>
      <c r="AQ28" s="17">
        <v>460.6</v>
      </c>
    </row>
    <row r="29" spans="3:43" x14ac:dyDescent="0.2">
      <c r="C29" s="180">
        <v>1991</v>
      </c>
      <c r="D29" s="147">
        <v>427105</v>
      </c>
      <c r="E29" s="147"/>
      <c r="F29" s="152">
        <f t="shared" si="0"/>
        <v>-1.3115178346554068</v>
      </c>
      <c r="G29" s="151"/>
      <c r="H29" s="147">
        <v>423504</v>
      </c>
      <c r="I29" s="147"/>
      <c r="J29" s="296">
        <f t="shared" si="1"/>
        <v>-1.5564853556485403</v>
      </c>
      <c r="AQ29" s="17">
        <v>653</v>
      </c>
    </row>
    <row r="30" spans="3:43" x14ac:dyDescent="0.2">
      <c r="C30" s="180">
        <v>1992</v>
      </c>
      <c r="D30" s="147">
        <v>411491</v>
      </c>
      <c r="E30" s="147"/>
      <c r="F30" s="296">
        <f t="shared" si="0"/>
        <v>-3.655775511876469</v>
      </c>
      <c r="G30" s="151"/>
      <c r="H30" s="147">
        <v>408157</v>
      </c>
      <c r="I30" s="147"/>
      <c r="J30" s="296">
        <f t="shared" si="1"/>
        <v>-3.623814651101287</v>
      </c>
      <c r="AQ30" s="17">
        <v>3723.3</v>
      </c>
    </row>
    <row r="31" spans="3:43" x14ac:dyDescent="0.2">
      <c r="C31" s="180">
        <v>1993</v>
      </c>
      <c r="D31" s="147">
        <v>407259</v>
      </c>
      <c r="E31" s="147"/>
      <c r="F31" s="296">
        <f t="shared" si="0"/>
        <v>-1.0284550573402607</v>
      </c>
      <c r="G31" s="151"/>
      <c r="H31" s="147">
        <v>403472</v>
      </c>
      <c r="I31" s="147"/>
      <c r="J31" s="296">
        <f t="shared" si="1"/>
        <v>-1.1478426193842095</v>
      </c>
      <c r="AQ31" s="17">
        <v>3382</v>
      </c>
    </row>
    <row r="32" spans="3:43" x14ac:dyDescent="0.2">
      <c r="C32" s="180">
        <v>1994</v>
      </c>
      <c r="D32" s="147">
        <v>460671</v>
      </c>
      <c r="E32" s="147"/>
      <c r="F32" s="296">
        <f t="shared" si="0"/>
        <v>13.114995617039771</v>
      </c>
      <c r="G32" s="151"/>
      <c r="H32" s="147">
        <v>455437</v>
      </c>
      <c r="I32" s="147"/>
      <c r="J32" s="296">
        <f t="shared" si="1"/>
        <v>12.879456319149774</v>
      </c>
    </row>
    <row r="33" spans="2:12" x14ac:dyDescent="0.2">
      <c r="C33" s="180"/>
      <c r="D33" s="147"/>
      <c r="E33" s="147"/>
      <c r="F33" s="296"/>
      <c r="G33" s="151"/>
      <c r="H33" s="147"/>
      <c r="I33" s="147"/>
      <c r="J33" s="296"/>
    </row>
    <row r="34" spans="2:12" x14ac:dyDescent="0.2">
      <c r="C34" s="180">
        <v>1995</v>
      </c>
      <c r="D34" s="147">
        <v>499702</v>
      </c>
      <c r="E34" s="147"/>
      <c r="F34" s="296">
        <f>((D34/D32)-1)*100</f>
        <v>8.4726409954175566</v>
      </c>
      <c r="G34" s="151"/>
      <c r="H34" s="147">
        <v>495000</v>
      </c>
      <c r="I34" s="147"/>
      <c r="J34" s="296">
        <f>(H34/H32-1)*100</f>
        <v>8.6868216679804267</v>
      </c>
    </row>
    <row r="35" spans="2:12" x14ac:dyDescent="0.2">
      <c r="C35" s="180">
        <v>1996</v>
      </c>
      <c r="D35" s="147">
        <v>497624</v>
      </c>
      <c r="E35" s="147"/>
      <c r="F35" s="296">
        <f t="shared" si="0"/>
        <v>-0.41584784531580876</v>
      </c>
      <c r="G35" s="151"/>
      <c r="H35" s="147">
        <v>492993</v>
      </c>
      <c r="I35" s="147"/>
      <c r="J35" s="296">
        <f t="shared" si="1"/>
        <v>-0.40545454545454218</v>
      </c>
    </row>
    <row r="36" spans="2:12" x14ac:dyDescent="0.2">
      <c r="C36" s="180">
        <v>1997</v>
      </c>
      <c r="D36" s="147">
        <v>641663</v>
      </c>
      <c r="E36" s="147"/>
      <c r="F36" s="296">
        <f t="shared" si="0"/>
        <v>28.945348295098317</v>
      </c>
      <c r="G36" s="151"/>
      <c r="H36" s="147">
        <v>635289</v>
      </c>
      <c r="I36" s="147"/>
      <c r="J36" s="296">
        <f t="shared" si="1"/>
        <v>28.863695833409398</v>
      </c>
    </row>
    <row r="37" spans="2:12" x14ac:dyDescent="0.2">
      <c r="C37" s="180">
        <v>1998</v>
      </c>
      <c r="D37" s="147">
        <v>622771</v>
      </c>
      <c r="E37" s="147"/>
      <c r="F37" s="296">
        <f t="shared" si="0"/>
        <v>-2.9442246163484564</v>
      </c>
      <c r="G37" s="151"/>
      <c r="H37" s="147">
        <v>607214</v>
      </c>
      <c r="I37" s="147"/>
      <c r="J37" s="296">
        <f t="shared" si="1"/>
        <v>-4.4192485624652722</v>
      </c>
    </row>
    <row r="38" spans="2:12" x14ac:dyDescent="0.2">
      <c r="C38" s="180">
        <v>1999</v>
      </c>
      <c r="D38" s="147">
        <v>578422</v>
      </c>
      <c r="E38" s="147"/>
      <c r="F38" s="296">
        <f t="shared" si="0"/>
        <v>-7.1212371802797492</v>
      </c>
      <c r="G38" s="151"/>
      <c r="H38" s="147">
        <v>628817</v>
      </c>
      <c r="I38" s="147"/>
      <c r="J38" s="296">
        <f t="shared" si="1"/>
        <v>3.5577242948943821</v>
      </c>
    </row>
    <row r="39" spans="2:12" x14ac:dyDescent="0.2">
      <c r="C39" s="180"/>
      <c r="D39" s="147"/>
      <c r="E39" s="147"/>
      <c r="F39" s="296"/>
      <c r="G39" s="151"/>
      <c r="H39" s="147"/>
      <c r="I39" s="147"/>
      <c r="J39" s="296"/>
    </row>
    <row r="40" spans="2:12" s="25" customFormat="1" x14ac:dyDescent="0.2">
      <c r="C40" s="180">
        <v>2000</v>
      </c>
      <c r="D40" s="147">
        <v>781546</v>
      </c>
      <c r="F40" s="296">
        <f>((D40/D38)-1)*100</f>
        <v>35.11692155554249</v>
      </c>
      <c r="H40" s="147">
        <v>766935</v>
      </c>
      <c r="J40" s="296">
        <f>(H40/H38-1)*100</f>
        <v>21.964736958447361</v>
      </c>
    </row>
    <row r="41" spans="2:12" x14ac:dyDescent="0.2">
      <c r="B41" s="25"/>
      <c r="C41" s="180">
        <v>2001</v>
      </c>
      <c r="D41" s="147">
        <v>848511</v>
      </c>
      <c r="E41" s="25"/>
      <c r="F41" s="296">
        <f t="shared" si="0"/>
        <v>8.5682736524785419</v>
      </c>
      <c r="G41" s="25"/>
      <c r="H41" s="147">
        <v>828096</v>
      </c>
      <c r="I41" s="25"/>
      <c r="J41" s="296">
        <f>(H41/H40-1)*100</f>
        <v>7.9747305834262372</v>
      </c>
      <c r="K41" s="25"/>
      <c r="L41" s="25"/>
    </row>
    <row r="42" spans="2:12" x14ac:dyDescent="0.2">
      <c r="B42" s="25"/>
      <c r="C42" s="180">
        <v>2002</v>
      </c>
      <c r="D42" s="147">
        <v>1037031</v>
      </c>
      <c r="E42" s="25"/>
      <c r="F42" s="296">
        <f t="shared" ref="F42:F47" si="2">((D42/D41)-1)*100</f>
        <v>22.217743788825373</v>
      </c>
      <c r="G42" s="25"/>
      <c r="H42" s="147">
        <v>1020989</v>
      </c>
      <c r="I42" s="25"/>
      <c r="J42" s="296">
        <f>(H42/H41-1)*100</f>
        <v>23.293555336579331</v>
      </c>
      <c r="K42" s="25"/>
      <c r="L42" s="25"/>
    </row>
    <row r="43" spans="2:12" x14ac:dyDescent="0.2">
      <c r="B43" s="25"/>
      <c r="C43" s="180">
        <v>2003</v>
      </c>
      <c r="D43" s="147">
        <v>1038900</v>
      </c>
      <c r="E43" s="25"/>
      <c r="F43" s="296">
        <f t="shared" si="2"/>
        <v>0.18022604917307117</v>
      </c>
      <c r="G43" s="25"/>
      <c r="H43" s="147">
        <v>996800</v>
      </c>
      <c r="I43" s="25"/>
      <c r="J43" s="296">
        <f>(H43/H42-1)*100</f>
        <v>-2.369173419106374</v>
      </c>
      <c r="K43" s="25"/>
      <c r="L43" s="25"/>
    </row>
    <row r="44" spans="2:12" x14ac:dyDescent="0.2">
      <c r="B44" s="25"/>
      <c r="C44" s="180">
        <v>2004</v>
      </c>
      <c r="D44" s="147">
        <f>(964.7*1000000000)/1000000</f>
        <v>964700</v>
      </c>
      <c r="E44" s="25"/>
      <c r="F44" s="296">
        <f t="shared" si="2"/>
        <v>-7.1421696024641435</v>
      </c>
      <c r="G44" s="25"/>
      <c r="H44" s="147">
        <v>923200</v>
      </c>
      <c r="I44" s="25"/>
      <c r="J44" s="296">
        <f>(H44/H43-1)*100</f>
        <v>-7.3836276083467105</v>
      </c>
      <c r="K44" s="25"/>
      <c r="L44" s="25"/>
    </row>
    <row r="45" spans="2:12" x14ac:dyDescent="0.2">
      <c r="B45" s="25"/>
      <c r="C45" s="180"/>
      <c r="D45" s="147"/>
      <c r="E45" s="25"/>
      <c r="F45" s="296"/>
      <c r="G45" s="25"/>
      <c r="H45" s="147"/>
      <c r="I45" s="25"/>
      <c r="J45" s="296"/>
      <c r="K45" s="25"/>
      <c r="L45" s="25"/>
    </row>
    <row r="46" spans="2:12" x14ac:dyDescent="0.2">
      <c r="B46" s="25"/>
      <c r="C46" s="180">
        <v>2005</v>
      </c>
      <c r="D46" s="147">
        <f>(1216.1*1000000000)/1000000</f>
        <v>1216100</v>
      </c>
      <c r="E46" s="25"/>
      <c r="F46" s="296">
        <f>((D46/D44)-1)*100</f>
        <v>26.059914999481705</v>
      </c>
      <c r="G46" s="25"/>
      <c r="H46" s="147">
        <v>1162400</v>
      </c>
      <c r="I46" s="25"/>
      <c r="J46" s="296">
        <f>(H46/H44-1)*100</f>
        <v>25.90987868284229</v>
      </c>
      <c r="K46" s="25"/>
      <c r="L46" s="25"/>
    </row>
    <row r="47" spans="2:12" x14ac:dyDescent="0.2">
      <c r="B47" s="25"/>
      <c r="C47" s="180">
        <v>2006</v>
      </c>
      <c r="D47" s="147">
        <v>1607900</v>
      </c>
      <c r="E47" s="25"/>
      <c r="F47" s="296">
        <f t="shared" si="2"/>
        <v>32.217745251212904</v>
      </c>
      <c r="G47" s="25"/>
      <c r="H47" s="147">
        <v>1598000</v>
      </c>
      <c r="I47" s="25"/>
      <c r="J47" s="296">
        <f>(H47/H46-1)*100</f>
        <v>37.474191328286309</v>
      </c>
      <c r="K47" s="25"/>
      <c r="L47" s="25"/>
    </row>
    <row r="48" spans="2:12" x14ac:dyDescent="0.2">
      <c r="B48" s="25"/>
      <c r="C48" s="180">
        <v>2007</v>
      </c>
      <c r="D48" s="147">
        <v>1873600</v>
      </c>
      <c r="E48" s="25"/>
      <c r="F48" s="296">
        <f>((D48/D47)-1)*100</f>
        <v>16.524659493749617</v>
      </c>
      <c r="G48" s="25"/>
      <c r="H48" s="147">
        <v>1856500</v>
      </c>
      <c r="I48" s="25"/>
      <c r="J48" s="296">
        <f>(H48/H47-1)*100</f>
        <v>16.176470588235304</v>
      </c>
      <c r="K48" s="25"/>
      <c r="L48" s="25"/>
    </row>
    <row r="49" spans="2:17" x14ac:dyDescent="0.2">
      <c r="B49" s="25"/>
      <c r="C49" s="180">
        <v>2008</v>
      </c>
      <c r="D49" s="147">
        <v>1799164</v>
      </c>
      <c r="E49" s="25"/>
      <c r="F49" s="296">
        <f>((D49/D48)-1)*100</f>
        <v>-3.9728864218616544</v>
      </c>
      <c r="G49" s="25"/>
      <c r="H49" s="147">
        <v>1803289</v>
      </c>
      <c r="I49" s="25"/>
      <c r="J49" s="296">
        <f>((H49/H48)-1)*100</f>
        <v>-2.8661998384056031</v>
      </c>
      <c r="K49" s="25"/>
      <c r="L49" s="25"/>
    </row>
    <row r="50" spans="2:17" ht="14.25" x14ac:dyDescent="0.2">
      <c r="B50" s="25"/>
      <c r="C50" s="297">
        <v>2009</v>
      </c>
      <c r="D50" s="147">
        <v>1755868</v>
      </c>
      <c r="E50" s="298"/>
      <c r="F50" s="296">
        <f>((D50/D49)-1)*100</f>
        <v>-2.4064509961293168</v>
      </c>
      <c r="G50" s="25"/>
      <c r="H50" s="147">
        <v>1771100</v>
      </c>
      <c r="I50" s="298"/>
      <c r="J50" s="296">
        <f>((H50/H49)-1)*100</f>
        <v>-1.7850161565894362</v>
      </c>
      <c r="K50" s="25"/>
      <c r="L50" s="25"/>
    </row>
    <row r="51" spans="2:17" ht="14.25" x14ac:dyDescent="0.2">
      <c r="B51" s="25"/>
      <c r="C51" s="297"/>
      <c r="D51" s="147"/>
      <c r="E51" s="298"/>
      <c r="F51" s="296"/>
      <c r="G51" s="25"/>
      <c r="H51" s="147"/>
      <c r="I51" s="298"/>
      <c r="J51" s="296"/>
      <c r="K51" s="25"/>
      <c r="L51" s="25"/>
    </row>
    <row r="52" spans="2:17" ht="14.25" x14ac:dyDescent="0.2">
      <c r="B52" s="25"/>
      <c r="C52" s="297">
        <v>2010</v>
      </c>
      <c r="D52" s="147">
        <v>1761661</v>
      </c>
      <c r="E52" s="298"/>
      <c r="F52" s="296">
        <f>((D52/D50)-1)*100</f>
        <v>0.32992229484221092</v>
      </c>
      <c r="G52" s="25"/>
      <c r="H52" s="147">
        <v>1795880</v>
      </c>
      <c r="I52" s="298"/>
      <c r="J52" s="296">
        <f>((H52/H50)-1)*100</f>
        <v>1.3991304838800733</v>
      </c>
      <c r="K52" s="25"/>
      <c r="L52" s="25"/>
    </row>
    <row r="53" spans="2:17" ht="13.5" customHeight="1" x14ac:dyDescent="0.2">
      <c r="B53" s="25"/>
      <c r="C53" s="297">
        <v>2011</v>
      </c>
      <c r="D53" s="147">
        <v>1543735</v>
      </c>
      <c r="E53" s="25"/>
      <c r="F53" s="296">
        <f>((D53/D52)-1)*100</f>
        <v>-12.370484446212981</v>
      </c>
      <c r="G53" s="25"/>
      <c r="H53" s="147">
        <v>1584592</v>
      </c>
      <c r="I53" s="25"/>
      <c r="J53" s="296">
        <f>((H53/H52)-1)*100</f>
        <v>-11.765151346415125</v>
      </c>
      <c r="K53" s="25"/>
      <c r="L53" s="25"/>
    </row>
    <row r="54" spans="2:17" ht="13.5" customHeight="1" x14ac:dyDescent="0.2">
      <c r="B54" s="25"/>
      <c r="C54" s="297">
        <v>2012</v>
      </c>
      <c r="D54" s="147">
        <v>1409321</v>
      </c>
      <c r="E54" s="25"/>
      <c r="F54" s="296">
        <f>D54/D53*100-100</f>
        <v>-8.7070643601395261</v>
      </c>
      <c r="G54" s="25"/>
      <c r="H54" s="147">
        <v>1434218</v>
      </c>
      <c r="I54" s="25"/>
      <c r="J54" s="296">
        <f>H54/H53*100-100</f>
        <v>-9.4897614023041825</v>
      </c>
      <c r="K54" s="25"/>
      <c r="L54" s="25"/>
    </row>
    <row r="55" spans="2:17" x14ac:dyDescent="0.2">
      <c r="B55" s="299"/>
      <c r="C55" s="297">
        <v>2013</v>
      </c>
      <c r="D55" s="300">
        <v>1377200</v>
      </c>
      <c r="E55" s="25"/>
      <c r="F55" s="296">
        <f>D55/D54*100-100</f>
        <v>-2.2791826702362386</v>
      </c>
      <c r="G55" s="25"/>
      <c r="H55" s="300">
        <v>1366800</v>
      </c>
      <c r="I55" s="25"/>
      <c r="J55" s="296">
        <f>H55/H54*100-100</f>
        <v>-4.7006800918688754</v>
      </c>
      <c r="K55" s="25" t="s">
        <v>185</v>
      </c>
      <c r="L55" s="25"/>
      <c r="P55" s="49"/>
      <c r="Q55" s="49"/>
    </row>
    <row r="56" spans="2:17" x14ac:dyDescent="0.2">
      <c r="B56" s="299"/>
      <c r="C56" s="297">
        <v>2014</v>
      </c>
      <c r="D56" s="300">
        <v>1423029</v>
      </c>
      <c r="E56" s="25"/>
      <c r="F56" s="296">
        <f>D56/D55*100-100</f>
        <v>3.3276938716235946</v>
      </c>
      <c r="G56" s="25"/>
      <c r="H56" s="300">
        <v>1443356</v>
      </c>
      <c r="I56" s="25"/>
      <c r="J56" s="296">
        <f>H56/H55*100-100</f>
        <v>5.6011120866257045</v>
      </c>
      <c r="K56" s="25"/>
      <c r="L56" s="25"/>
      <c r="P56" s="49"/>
      <c r="Q56" s="49"/>
    </row>
    <row r="57" spans="2:17" x14ac:dyDescent="0.2">
      <c r="B57" s="299"/>
      <c r="C57" s="297">
        <v>2015</v>
      </c>
      <c r="D57" s="300">
        <v>1377000</v>
      </c>
      <c r="E57" s="25"/>
      <c r="F57" s="296">
        <f>D57/D56*100-100</f>
        <v>-3.2345791969102464</v>
      </c>
      <c r="G57" s="25"/>
      <c r="H57" s="300">
        <v>1380000</v>
      </c>
      <c r="I57" s="25"/>
      <c r="J57" s="296">
        <f>H57/H56*100-100</f>
        <v>-4.38949226663415</v>
      </c>
      <c r="K57" s="25"/>
      <c r="L57" s="25"/>
      <c r="P57" s="49"/>
      <c r="Q57" s="49"/>
    </row>
    <row r="58" spans="2:17" x14ac:dyDescent="0.2">
      <c r="B58" s="299"/>
      <c r="C58" s="301">
        <v>2016</v>
      </c>
      <c r="D58" s="302">
        <v>1155000</v>
      </c>
      <c r="E58" s="303"/>
      <c r="F58" s="304">
        <f>D58/D57*100-100</f>
        <v>-16.122004357298465</v>
      </c>
      <c r="G58" s="303"/>
      <c r="H58" s="302">
        <v>1211000</v>
      </c>
      <c r="I58" s="303"/>
      <c r="J58" s="304">
        <f>H58/H57*100-100</f>
        <v>-12.246376811594203</v>
      </c>
      <c r="K58" s="25"/>
      <c r="L58" s="25"/>
      <c r="P58" s="49"/>
      <c r="Q58" s="49"/>
    </row>
    <row r="59" spans="2:17" x14ac:dyDescent="0.2">
      <c r="B59" s="25"/>
      <c r="E59" s="25"/>
      <c r="F59" s="25"/>
      <c r="G59" s="25"/>
      <c r="H59" s="25"/>
      <c r="I59" s="25"/>
      <c r="J59" s="25"/>
      <c r="K59" s="25"/>
      <c r="L59" s="25"/>
      <c r="P59" s="49"/>
      <c r="Q59" s="49"/>
    </row>
    <row r="60" spans="2:17" x14ac:dyDescent="0.2">
      <c r="B60" s="25"/>
      <c r="C60" s="305" t="s">
        <v>105</v>
      </c>
      <c r="D60" s="25"/>
      <c r="E60" s="25"/>
      <c r="F60" s="25"/>
      <c r="G60" s="25"/>
      <c r="H60" s="25"/>
      <c r="I60" s="25"/>
      <c r="J60" s="25"/>
      <c r="L60" s="25"/>
      <c r="P60" s="49"/>
      <c r="Q60" s="49"/>
    </row>
    <row r="61" spans="2:17" x14ac:dyDescent="0.2">
      <c r="B61" s="25"/>
      <c r="C61" s="305"/>
      <c r="D61" s="25"/>
      <c r="E61" s="25"/>
      <c r="F61" s="25"/>
      <c r="G61" s="25"/>
      <c r="H61" s="25"/>
      <c r="I61" s="25"/>
      <c r="J61" s="25"/>
      <c r="L61" s="25"/>
      <c r="P61" s="49"/>
      <c r="Q61" s="49"/>
    </row>
    <row r="62" spans="2:17" x14ac:dyDescent="0.2">
      <c r="B62" s="25"/>
      <c r="C62" s="306" t="s">
        <v>186</v>
      </c>
      <c r="D62" s="306"/>
      <c r="E62" s="306"/>
      <c r="F62" s="306"/>
      <c r="G62" s="306"/>
      <c r="H62" s="306"/>
      <c r="I62" s="306"/>
      <c r="J62" s="306"/>
      <c r="K62" s="306"/>
      <c r="L62" s="25"/>
      <c r="P62" s="49"/>
      <c r="Q62" s="49"/>
    </row>
    <row r="63" spans="2:17" x14ac:dyDescent="0.2">
      <c r="B63" s="25"/>
      <c r="C63" s="306"/>
      <c r="D63" s="306"/>
      <c r="E63" s="306"/>
      <c r="F63" s="306"/>
      <c r="G63" s="306"/>
      <c r="H63" s="306"/>
      <c r="I63" s="306"/>
      <c r="J63" s="306"/>
      <c r="K63" s="306"/>
      <c r="L63" s="25"/>
      <c r="P63" s="49"/>
      <c r="Q63" s="49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P64" s="49"/>
      <c r="Q64" s="49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P65" s="49"/>
      <c r="Q65" s="49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P66" s="49"/>
      <c r="Q66" s="49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P67" s="49"/>
      <c r="Q67" s="49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P68" s="198"/>
      <c r="Q68" s="198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P69" s="198"/>
      <c r="Q69" s="198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P70" s="198"/>
      <c r="Q70" s="198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P71" s="198"/>
      <c r="Q71" s="198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P72" s="198"/>
      <c r="Q72" s="198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P73" s="198"/>
      <c r="Q73" s="198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P74" s="198"/>
      <c r="Q74" s="198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P75" s="198"/>
      <c r="Q75" s="198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P76" s="18"/>
      <c r="Q76" s="18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P77" s="198"/>
      <c r="Q77" s="198"/>
    </row>
    <row r="78" spans="2:17" x14ac:dyDescent="0.2">
      <c r="B78" s="25"/>
      <c r="D78" s="25"/>
      <c r="E78" s="25"/>
      <c r="F78" s="25"/>
      <c r="G78" s="25"/>
      <c r="H78" s="25"/>
      <c r="I78" s="25"/>
      <c r="J78" s="25"/>
      <c r="P78" s="18"/>
      <c r="Q78" s="18"/>
    </row>
    <row r="79" spans="2:17" x14ac:dyDescent="0.2">
      <c r="B79" s="25"/>
      <c r="C79" s="54"/>
      <c r="D79" s="25"/>
      <c r="E79" s="25"/>
      <c r="F79" s="25"/>
      <c r="G79" s="25"/>
      <c r="H79" s="25"/>
      <c r="I79" s="25"/>
      <c r="J79" s="25"/>
      <c r="O79" s="286"/>
      <c r="P79" s="18"/>
      <c r="Q79" s="18"/>
    </row>
    <row r="80" spans="2:17" x14ac:dyDescent="0.2">
      <c r="B80" s="25"/>
      <c r="C80" s="54"/>
      <c r="D80" s="25"/>
      <c r="E80" s="25"/>
      <c r="F80" s="25"/>
      <c r="G80" s="25"/>
      <c r="H80" s="25"/>
      <c r="I80" s="25"/>
      <c r="J80" s="25"/>
      <c r="O80" s="286"/>
      <c r="P80" s="18"/>
      <c r="Q80" s="18"/>
    </row>
    <row r="81" spans="2:17" x14ac:dyDescent="0.2">
      <c r="B81" s="25"/>
      <c r="P81" s="18"/>
      <c r="Q81" s="18"/>
    </row>
    <row r="82" spans="2:17" x14ac:dyDescent="0.2">
      <c r="B82" s="25"/>
      <c r="P82" s="18"/>
      <c r="Q82" s="18"/>
    </row>
    <row r="83" spans="2:17" x14ac:dyDescent="0.2">
      <c r="B83" s="25"/>
      <c r="P83" s="18"/>
      <c r="Q83" s="18"/>
    </row>
    <row r="84" spans="2:17" x14ac:dyDescent="0.2">
      <c r="B84" s="25"/>
      <c r="P84" s="49"/>
      <c r="Q84" s="49"/>
    </row>
    <row r="85" spans="2:17" x14ac:dyDescent="0.2">
      <c r="B85" s="25"/>
      <c r="D85" s="25"/>
      <c r="E85" s="25"/>
      <c r="F85" s="25"/>
      <c r="G85" s="25"/>
      <c r="H85" s="25"/>
      <c r="I85" s="25"/>
      <c r="J85" s="25"/>
    </row>
    <row r="86" spans="2:17" ht="9" customHeight="1" x14ac:dyDescent="0.2"/>
    <row r="87" spans="2:17" x14ac:dyDescent="0.2"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9"/>
    </row>
  </sheetData>
  <mergeCells count="2">
    <mergeCell ref="C8:J8"/>
    <mergeCell ref="C62:K63"/>
  </mergeCells>
  <phoneticPr fontId="7" type="noConversion"/>
  <printOptions horizontalCentered="1"/>
  <pageMargins left="1" right="1" top="0.66" bottom="0.68" header="0.5" footer="0.5"/>
  <pageSetup scale="76" fitToWidth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342900</xdr:colOff>
                <xdr:row>5</xdr:row>
                <xdr:rowOff>95250</xdr:rowOff>
              </to>
            </anchor>
          </objectPr>
        </oleObject>
      </mc:Choice>
      <mc:Fallback>
        <oleObject progId="MSPhotoEd.3" shapeId="614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4:AQ92"/>
  <sheetViews>
    <sheetView zoomScaleNormal="100" zoomScaleSheetLayoutView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7" sqref="B7"/>
    </sheetView>
  </sheetViews>
  <sheetFormatPr defaultRowHeight="12.75" x14ac:dyDescent="0.2"/>
  <cols>
    <col min="1" max="1" width="9.140625" style="17"/>
    <col min="2" max="2" width="9" style="17" customWidth="1"/>
    <col min="3" max="8" width="9.7109375" style="17" customWidth="1"/>
    <col min="9" max="9" width="11.7109375" style="17" customWidth="1"/>
    <col min="10" max="10" width="10.5703125" style="17" customWidth="1"/>
    <col min="11" max="16384" width="9.140625" style="17"/>
  </cols>
  <sheetData>
    <row r="4" spans="2:43" ht="15" x14ac:dyDescent="0.25">
      <c r="J4" s="31"/>
      <c r="K4" s="136"/>
    </row>
    <row r="5" spans="2:43" s="310" customFormat="1" ht="9" customHeight="1" x14ac:dyDescent="0.2"/>
    <row r="8" spans="2:43" ht="15.75" x14ac:dyDescent="0.25">
      <c r="B8" s="290"/>
      <c r="C8" s="249"/>
      <c r="D8" s="245" t="s">
        <v>246</v>
      </c>
      <c r="E8" s="245"/>
      <c r="F8" s="245"/>
      <c r="G8" s="245"/>
      <c r="H8" s="245"/>
      <c r="I8" s="245"/>
      <c r="J8" s="245"/>
      <c r="K8" s="311"/>
    </row>
    <row r="10" spans="2:43" x14ac:dyDescent="0.2">
      <c r="L10" s="25"/>
    </row>
    <row r="11" spans="2:43" ht="39.75" customHeight="1" x14ac:dyDescent="0.2">
      <c r="C11" s="312" t="s">
        <v>0</v>
      </c>
      <c r="D11" s="313" t="s">
        <v>97</v>
      </c>
      <c r="E11" s="313" t="s">
        <v>98</v>
      </c>
      <c r="F11" s="313" t="s">
        <v>99</v>
      </c>
      <c r="G11" s="313" t="s">
        <v>100</v>
      </c>
      <c r="H11" s="314" t="s">
        <v>82</v>
      </c>
      <c r="I11" s="314" t="s">
        <v>22</v>
      </c>
      <c r="J11" s="314" t="s">
        <v>83</v>
      </c>
      <c r="K11" s="25"/>
      <c r="L11" s="25"/>
    </row>
    <row r="13" spans="2:43" x14ac:dyDescent="0.2">
      <c r="C13" s="308">
        <v>1972</v>
      </c>
      <c r="D13" s="315"/>
      <c r="E13" s="315">
        <v>23</v>
      </c>
      <c r="F13" s="315"/>
      <c r="G13" s="315">
        <v>58</v>
      </c>
      <c r="H13" s="315"/>
      <c r="I13" s="315">
        <f>SUM(D13:H13)</f>
        <v>81</v>
      </c>
      <c r="J13" s="315"/>
      <c r="AQ13" s="17">
        <v>4932.3999999999996</v>
      </c>
    </row>
    <row r="14" spans="2:43" x14ac:dyDescent="0.2">
      <c r="C14" s="308">
        <v>1973</v>
      </c>
      <c r="D14" s="315"/>
      <c r="E14" s="315">
        <v>30</v>
      </c>
      <c r="F14" s="315"/>
      <c r="G14" s="315">
        <v>116</v>
      </c>
      <c r="H14" s="315"/>
      <c r="I14" s="315">
        <f>SUM(D14:H14)</f>
        <v>146</v>
      </c>
      <c r="J14" s="315"/>
      <c r="AQ14" s="17">
        <v>2281.6999999999998</v>
      </c>
    </row>
    <row r="15" spans="2:43" x14ac:dyDescent="0.2">
      <c r="C15" s="308">
        <v>1974</v>
      </c>
      <c r="D15" s="315"/>
      <c r="E15" s="315">
        <v>33</v>
      </c>
      <c r="F15" s="315"/>
      <c r="G15" s="315">
        <v>153</v>
      </c>
      <c r="H15" s="315"/>
      <c r="I15" s="315">
        <f>SUM(D15:H15)</f>
        <v>186</v>
      </c>
      <c r="J15" s="315"/>
      <c r="AQ15" s="17">
        <v>100.2</v>
      </c>
    </row>
    <row r="16" spans="2:43" x14ac:dyDescent="0.2">
      <c r="C16" s="308">
        <v>1975</v>
      </c>
      <c r="D16" s="315"/>
      <c r="E16" s="315">
        <v>36</v>
      </c>
      <c r="F16" s="315"/>
      <c r="G16" s="315">
        <v>158</v>
      </c>
      <c r="H16" s="315"/>
      <c r="I16" s="315">
        <f>SUM(D16:H16)</f>
        <v>194</v>
      </c>
      <c r="J16" s="315"/>
      <c r="AQ16" s="17">
        <v>2181.5</v>
      </c>
    </row>
    <row r="17" spans="3:43" x14ac:dyDescent="0.2">
      <c r="C17" s="308">
        <v>1976</v>
      </c>
      <c r="D17" s="315"/>
      <c r="E17" s="315">
        <v>35</v>
      </c>
      <c r="F17" s="315"/>
      <c r="G17" s="315">
        <v>181</v>
      </c>
      <c r="H17" s="315"/>
      <c r="I17" s="315">
        <f>SUM(D17:H17)</f>
        <v>216</v>
      </c>
      <c r="J17" s="315"/>
      <c r="AQ17" s="17">
        <v>2650.7</v>
      </c>
    </row>
    <row r="18" spans="3:43" x14ac:dyDescent="0.2">
      <c r="C18" s="308"/>
      <c r="D18" s="315"/>
      <c r="E18" s="315"/>
      <c r="F18" s="315"/>
      <c r="G18" s="315"/>
      <c r="H18" s="315"/>
      <c r="I18" s="315"/>
      <c r="J18" s="315"/>
      <c r="AQ18" s="17">
        <v>2971.2</v>
      </c>
    </row>
    <row r="19" spans="3:43" x14ac:dyDescent="0.2">
      <c r="C19" s="308">
        <v>1977</v>
      </c>
      <c r="D19" s="315"/>
      <c r="E19" s="315">
        <v>29</v>
      </c>
      <c r="F19" s="315"/>
      <c r="G19" s="315">
        <v>208</v>
      </c>
      <c r="H19" s="315"/>
      <c r="I19" s="315">
        <f>SUM(D19:H19)</f>
        <v>237</v>
      </c>
      <c r="J19" s="315"/>
      <c r="AQ19" s="17">
        <v>243.6</v>
      </c>
    </row>
    <row r="20" spans="3:43" x14ac:dyDescent="0.2">
      <c r="C20" s="308">
        <v>1978</v>
      </c>
      <c r="D20" s="315"/>
      <c r="E20" s="315">
        <v>29</v>
      </c>
      <c r="F20" s="315"/>
      <c r="G20" s="315">
        <v>232</v>
      </c>
      <c r="H20" s="315"/>
      <c r="I20" s="315">
        <f>SUM(D20:H20)</f>
        <v>261</v>
      </c>
      <c r="J20" s="315"/>
      <c r="AQ20" s="17">
        <v>70.099999999999994</v>
      </c>
    </row>
    <row r="21" spans="3:43" x14ac:dyDescent="0.2">
      <c r="C21" s="308">
        <v>1979</v>
      </c>
      <c r="D21" s="315"/>
      <c r="E21" s="315">
        <v>31</v>
      </c>
      <c r="F21" s="315"/>
      <c r="G21" s="315">
        <v>260</v>
      </c>
      <c r="H21" s="315"/>
      <c r="I21" s="315">
        <f>SUM(D21:H21)</f>
        <v>291</v>
      </c>
      <c r="J21" s="315"/>
      <c r="AQ21" s="17">
        <v>2657.5</v>
      </c>
    </row>
    <row r="22" spans="3:43" x14ac:dyDescent="0.2">
      <c r="C22" s="308">
        <v>1980</v>
      </c>
      <c r="D22" s="315"/>
      <c r="E22" s="315">
        <v>31</v>
      </c>
      <c r="F22" s="315"/>
      <c r="G22" s="315">
        <v>293</v>
      </c>
      <c r="H22" s="315"/>
      <c r="I22" s="315">
        <f>SUM(D22:H22)</f>
        <v>324</v>
      </c>
      <c r="J22" s="315"/>
      <c r="AQ22" s="17">
        <v>-320.5</v>
      </c>
    </row>
    <row r="23" spans="3:43" x14ac:dyDescent="0.2">
      <c r="C23" s="308">
        <v>1981</v>
      </c>
      <c r="D23" s="315"/>
      <c r="E23" s="315">
        <v>31</v>
      </c>
      <c r="F23" s="315"/>
      <c r="G23" s="315">
        <v>362</v>
      </c>
      <c r="H23" s="315"/>
      <c r="I23" s="315">
        <f>SUM(D23:H23)</f>
        <v>393</v>
      </c>
      <c r="J23" s="315"/>
    </row>
    <row r="24" spans="3:43" x14ac:dyDescent="0.2">
      <c r="C24" s="308"/>
      <c r="D24" s="315"/>
      <c r="E24" s="315"/>
      <c r="F24" s="315"/>
      <c r="G24" s="315"/>
      <c r="H24" s="315"/>
      <c r="I24" s="315"/>
      <c r="J24" s="315"/>
      <c r="AQ24" s="17">
        <v>4932.3999999999996</v>
      </c>
    </row>
    <row r="25" spans="3:43" x14ac:dyDescent="0.2">
      <c r="C25" s="308">
        <v>1982</v>
      </c>
      <c r="D25" s="315"/>
      <c r="E25" s="315">
        <v>33</v>
      </c>
      <c r="F25" s="315"/>
      <c r="G25" s="315">
        <v>395</v>
      </c>
      <c r="H25" s="315"/>
      <c r="I25" s="315">
        <f>SUM(D25:H25)</f>
        <v>428</v>
      </c>
      <c r="J25" s="315"/>
      <c r="AQ25" s="17">
        <v>1209.0999999999999</v>
      </c>
    </row>
    <row r="26" spans="3:43" x14ac:dyDescent="0.2">
      <c r="C26" s="308">
        <v>1983</v>
      </c>
      <c r="D26" s="315"/>
      <c r="E26" s="315">
        <v>32</v>
      </c>
      <c r="F26" s="315"/>
      <c r="G26" s="315">
        <v>420</v>
      </c>
      <c r="H26" s="315"/>
      <c r="I26" s="315">
        <f>SUM(D26:H26)</f>
        <v>452</v>
      </c>
      <c r="J26" s="315"/>
      <c r="AQ26" s="17">
        <v>95.5</v>
      </c>
    </row>
    <row r="27" spans="3:43" x14ac:dyDescent="0.2">
      <c r="C27" s="308">
        <v>1984</v>
      </c>
      <c r="D27" s="315"/>
      <c r="E27" s="315">
        <v>31</v>
      </c>
      <c r="F27" s="315"/>
      <c r="G27" s="315">
        <v>428</v>
      </c>
      <c r="H27" s="315"/>
      <c r="I27" s="315">
        <f>SUM(D27:H27)</f>
        <v>459</v>
      </c>
      <c r="J27" s="315"/>
      <c r="AQ27" s="17">
        <v>1113.5999999999999</v>
      </c>
    </row>
    <row r="28" spans="3:43" x14ac:dyDescent="0.2">
      <c r="C28" s="308">
        <v>1985</v>
      </c>
      <c r="D28" s="315"/>
      <c r="E28" s="315">
        <v>31</v>
      </c>
      <c r="F28" s="315"/>
      <c r="G28" s="315">
        <v>450</v>
      </c>
      <c r="H28" s="315"/>
      <c r="I28" s="315">
        <f>SUM(D28:H28)</f>
        <v>481</v>
      </c>
      <c r="J28" s="315"/>
      <c r="AQ28" s="17">
        <v>460.6</v>
      </c>
    </row>
    <row r="29" spans="3:43" x14ac:dyDescent="0.2">
      <c r="C29" s="308">
        <v>1986</v>
      </c>
      <c r="D29" s="315"/>
      <c r="E29" s="315">
        <v>30</v>
      </c>
      <c r="F29" s="315"/>
      <c r="G29" s="315">
        <v>468</v>
      </c>
      <c r="H29" s="315"/>
      <c r="I29" s="315">
        <f>SUM(D29:H29)</f>
        <v>498</v>
      </c>
      <c r="J29" s="315"/>
      <c r="AQ29" s="17">
        <v>653</v>
      </c>
    </row>
    <row r="30" spans="3:43" x14ac:dyDescent="0.2">
      <c r="C30" s="308"/>
      <c r="D30" s="315"/>
      <c r="E30" s="315"/>
      <c r="F30" s="315"/>
      <c r="G30" s="315"/>
      <c r="H30" s="315"/>
      <c r="I30" s="315"/>
      <c r="J30" s="315"/>
      <c r="AQ30" s="17">
        <v>3723.3</v>
      </c>
    </row>
    <row r="31" spans="3:43" x14ac:dyDescent="0.2">
      <c r="C31" s="308">
        <v>1987</v>
      </c>
      <c r="D31" s="316"/>
      <c r="E31" s="315">
        <v>32</v>
      </c>
      <c r="F31" s="315"/>
      <c r="G31" s="315">
        <v>476</v>
      </c>
      <c r="H31" s="315"/>
      <c r="I31" s="315">
        <f t="shared" ref="I31:I39" si="0">SUM(D31:H31)</f>
        <v>508</v>
      </c>
      <c r="J31" s="315"/>
      <c r="AQ31" s="17">
        <v>3382</v>
      </c>
    </row>
    <row r="32" spans="3:43" x14ac:dyDescent="0.2">
      <c r="C32" s="308">
        <v>1988</v>
      </c>
      <c r="D32" s="316"/>
      <c r="E32" s="315">
        <v>35</v>
      </c>
      <c r="F32" s="315"/>
      <c r="G32" s="315">
        <v>492</v>
      </c>
      <c r="H32" s="315"/>
      <c r="I32" s="315">
        <f t="shared" si="0"/>
        <v>527</v>
      </c>
      <c r="J32" s="315"/>
    </row>
    <row r="33" spans="2:11" x14ac:dyDescent="0.2">
      <c r="C33" s="308">
        <v>1989</v>
      </c>
      <c r="D33" s="316"/>
      <c r="E33" s="315">
        <v>35</v>
      </c>
      <c r="F33" s="315"/>
      <c r="G33" s="315">
        <v>503</v>
      </c>
      <c r="H33" s="315"/>
      <c r="I33" s="315">
        <f t="shared" si="0"/>
        <v>538</v>
      </c>
      <c r="J33" s="315"/>
    </row>
    <row r="34" spans="2:11" x14ac:dyDescent="0.2">
      <c r="C34" s="308">
        <v>1990</v>
      </c>
      <c r="D34" s="316"/>
      <c r="E34" s="315">
        <v>34</v>
      </c>
      <c r="F34" s="315"/>
      <c r="G34" s="315">
        <v>512</v>
      </c>
      <c r="H34" s="315"/>
      <c r="I34" s="315">
        <f t="shared" si="0"/>
        <v>546</v>
      </c>
      <c r="J34" s="315"/>
    </row>
    <row r="35" spans="2:11" x14ac:dyDescent="0.2">
      <c r="C35" s="308">
        <v>1991</v>
      </c>
      <c r="D35" s="316">
        <v>4</v>
      </c>
      <c r="E35" s="315">
        <v>28</v>
      </c>
      <c r="F35" s="315">
        <v>274</v>
      </c>
      <c r="G35" s="315">
        <v>201</v>
      </c>
      <c r="H35" s="315">
        <v>37</v>
      </c>
      <c r="I35" s="315">
        <f t="shared" si="0"/>
        <v>544</v>
      </c>
      <c r="J35" s="317">
        <v>55</v>
      </c>
    </row>
    <row r="36" spans="2:11" x14ac:dyDescent="0.2">
      <c r="C36" s="308">
        <v>1992</v>
      </c>
      <c r="D36" s="316">
        <v>4</v>
      </c>
      <c r="E36" s="315">
        <v>26</v>
      </c>
      <c r="F36" s="315">
        <v>265</v>
      </c>
      <c r="G36" s="315">
        <v>199</v>
      </c>
      <c r="H36" s="315">
        <v>38</v>
      </c>
      <c r="I36" s="315">
        <f t="shared" si="0"/>
        <v>532</v>
      </c>
      <c r="J36" s="317">
        <v>56</v>
      </c>
    </row>
    <row r="37" spans="2:11" x14ac:dyDescent="0.2">
      <c r="C37" s="308">
        <v>1993</v>
      </c>
      <c r="D37" s="316">
        <v>5</v>
      </c>
      <c r="E37" s="315">
        <v>26</v>
      </c>
      <c r="F37" s="315">
        <v>266</v>
      </c>
      <c r="G37" s="315">
        <v>196</v>
      </c>
      <c r="H37" s="315">
        <v>44</v>
      </c>
      <c r="I37" s="315">
        <f t="shared" si="0"/>
        <v>537</v>
      </c>
      <c r="J37" s="317">
        <v>55</v>
      </c>
    </row>
    <row r="38" spans="2:11" x14ac:dyDescent="0.2">
      <c r="C38" s="308">
        <v>1994</v>
      </c>
      <c r="D38" s="316">
        <v>5</v>
      </c>
      <c r="E38" s="315">
        <v>26</v>
      </c>
      <c r="F38" s="315">
        <v>278</v>
      </c>
      <c r="G38" s="315">
        <v>198</v>
      </c>
      <c r="H38" s="315">
        <v>53</v>
      </c>
      <c r="I38" s="315">
        <f t="shared" si="0"/>
        <v>560</v>
      </c>
      <c r="J38" s="317">
        <v>82</v>
      </c>
    </row>
    <row r="39" spans="2:11" x14ac:dyDescent="0.2">
      <c r="C39" s="308">
        <v>1995</v>
      </c>
      <c r="D39" s="316">
        <v>4</v>
      </c>
      <c r="E39" s="315">
        <v>25</v>
      </c>
      <c r="F39" s="315">
        <v>278</v>
      </c>
      <c r="G39" s="315">
        <v>194</v>
      </c>
      <c r="H39" s="315">
        <v>63</v>
      </c>
      <c r="I39" s="315">
        <f t="shared" si="0"/>
        <v>564</v>
      </c>
      <c r="J39" s="317">
        <v>84</v>
      </c>
    </row>
    <row r="40" spans="2:11" x14ac:dyDescent="0.2">
      <c r="C40" s="308"/>
      <c r="D40" s="316"/>
      <c r="E40" s="315"/>
      <c r="F40" s="315"/>
      <c r="G40" s="315"/>
      <c r="H40" s="315"/>
      <c r="I40" s="315"/>
      <c r="J40" s="317"/>
    </row>
    <row r="41" spans="2:11" x14ac:dyDescent="0.2">
      <c r="C41" s="308">
        <v>1996</v>
      </c>
      <c r="D41" s="316">
        <v>4</v>
      </c>
      <c r="E41" s="315">
        <v>24</v>
      </c>
      <c r="F41" s="315">
        <v>278</v>
      </c>
      <c r="G41" s="315">
        <v>193</v>
      </c>
      <c r="H41" s="315">
        <v>78</v>
      </c>
      <c r="I41" s="315">
        <f>SUM(D41:H41)</f>
        <v>577</v>
      </c>
      <c r="J41" s="317">
        <v>93</v>
      </c>
    </row>
    <row r="42" spans="2:11" x14ac:dyDescent="0.2">
      <c r="C42" s="308">
        <v>1997</v>
      </c>
      <c r="D42" s="316">
        <v>4</v>
      </c>
      <c r="E42" s="315">
        <v>26</v>
      </c>
      <c r="F42" s="315">
        <v>288</v>
      </c>
      <c r="G42" s="315">
        <v>187</v>
      </c>
      <c r="H42" s="315">
        <v>89</v>
      </c>
      <c r="I42" s="315">
        <f t="shared" ref="I42:I54" si="1">SUM(D42:H42)</f>
        <v>594</v>
      </c>
      <c r="J42" s="317">
        <v>98</v>
      </c>
    </row>
    <row r="43" spans="2:11" x14ac:dyDescent="0.2">
      <c r="B43" s="25"/>
      <c r="C43" s="180">
        <v>1998</v>
      </c>
      <c r="D43" s="318">
        <v>4</v>
      </c>
      <c r="E43" s="147">
        <v>26</v>
      </c>
      <c r="F43" s="147">
        <v>277</v>
      </c>
      <c r="G43" s="147">
        <v>180</v>
      </c>
      <c r="H43" s="147">
        <v>97</v>
      </c>
      <c r="I43" s="315">
        <f t="shared" si="1"/>
        <v>584</v>
      </c>
      <c r="J43" s="319">
        <v>98</v>
      </c>
      <c r="K43" s="25"/>
    </row>
    <row r="44" spans="2:11" x14ac:dyDescent="0.2">
      <c r="B44" s="25"/>
      <c r="C44" s="180">
        <v>1999</v>
      </c>
      <c r="D44" s="318">
        <v>4</v>
      </c>
      <c r="E44" s="147">
        <v>27</v>
      </c>
      <c r="F44" s="147">
        <v>262</v>
      </c>
      <c r="G44" s="147">
        <v>168</v>
      </c>
      <c r="H44" s="147">
        <v>109</v>
      </c>
      <c r="I44" s="315">
        <f t="shared" si="1"/>
        <v>570</v>
      </c>
      <c r="J44" s="319">
        <v>110</v>
      </c>
      <c r="K44" s="25"/>
    </row>
    <row r="45" spans="2:11" x14ac:dyDescent="0.2">
      <c r="B45" s="25"/>
      <c r="C45" s="180">
        <v>2000</v>
      </c>
      <c r="D45" s="318">
        <v>4</v>
      </c>
      <c r="E45" s="147">
        <v>27</v>
      </c>
      <c r="F45" s="147">
        <v>267</v>
      </c>
      <c r="G45" s="147">
        <v>166</v>
      </c>
      <c r="H45" s="147">
        <v>116</v>
      </c>
      <c r="I45" s="315">
        <f t="shared" si="1"/>
        <v>580</v>
      </c>
      <c r="J45" s="319">
        <v>109</v>
      </c>
      <c r="K45" s="25"/>
    </row>
    <row r="46" spans="2:11" x14ac:dyDescent="0.2">
      <c r="B46" s="25"/>
      <c r="C46" s="180"/>
      <c r="D46" s="318"/>
      <c r="E46" s="147"/>
      <c r="F46" s="147"/>
      <c r="G46" s="147"/>
      <c r="H46" s="147"/>
      <c r="I46" s="315"/>
      <c r="J46" s="319"/>
      <c r="K46" s="25"/>
    </row>
    <row r="47" spans="2:11" x14ac:dyDescent="0.2">
      <c r="B47" s="25"/>
      <c r="C47" s="180">
        <v>2001</v>
      </c>
      <c r="D47" s="318">
        <v>4</v>
      </c>
      <c r="E47" s="147">
        <v>27</v>
      </c>
      <c r="F47" s="147">
        <v>243</v>
      </c>
      <c r="G47" s="147">
        <v>153</v>
      </c>
      <c r="H47" s="147">
        <v>118</v>
      </c>
      <c r="I47" s="315">
        <f t="shared" si="1"/>
        <v>545</v>
      </c>
      <c r="J47" s="319">
        <v>115</v>
      </c>
      <c r="K47" s="25"/>
    </row>
    <row r="48" spans="2:11" x14ac:dyDescent="0.2">
      <c r="B48" s="25"/>
      <c r="C48" s="320">
        <v>2002</v>
      </c>
      <c r="D48" s="321">
        <v>4</v>
      </c>
      <c r="E48" s="300">
        <v>26</v>
      </c>
      <c r="F48" s="300">
        <v>213</v>
      </c>
      <c r="G48" s="300">
        <v>140</v>
      </c>
      <c r="H48" s="300">
        <v>125</v>
      </c>
      <c r="I48" s="315">
        <f t="shared" si="1"/>
        <v>508</v>
      </c>
      <c r="J48" s="322">
        <v>117</v>
      </c>
      <c r="K48" s="25"/>
    </row>
    <row r="49" spans="2:11" x14ac:dyDescent="0.2">
      <c r="B49" s="25"/>
      <c r="C49" s="320">
        <v>2003</v>
      </c>
      <c r="D49" s="321">
        <v>4</v>
      </c>
      <c r="E49" s="300">
        <v>23</v>
      </c>
      <c r="F49" s="300">
        <v>192</v>
      </c>
      <c r="G49" s="300">
        <v>130</v>
      </c>
      <c r="H49" s="300">
        <v>122</v>
      </c>
      <c r="I49" s="315">
        <f t="shared" si="1"/>
        <v>471</v>
      </c>
      <c r="J49" s="322">
        <v>106</v>
      </c>
      <c r="K49" s="25"/>
    </row>
    <row r="50" spans="2:11" x14ac:dyDescent="0.2">
      <c r="B50" s="25"/>
      <c r="C50" s="320">
        <v>2004</v>
      </c>
      <c r="D50" s="321">
        <v>3</v>
      </c>
      <c r="E50" s="300">
        <v>20</v>
      </c>
      <c r="F50" s="300">
        <v>180</v>
      </c>
      <c r="G50" s="300">
        <v>119</v>
      </c>
      <c r="H50" s="300">
        <v>124</v>
      </c>
      <c r="I50" s="315">
        <f t="shared" si="1"/>
        <v>446</v>
      </c>
      <c r="J50" s="322">
        <v>99</v>
      </c>
      <c r="K50" s="25"/>
    </row>
    <row r="51" spans="2:11" x14ac:dyDescent="0.2">
      <c r="B51" s="25"/>
      <c r="C51" s="320">
        <v>2005</v>
      </c>
      <c r="D51" s="321">
        <v>3</v>
      </c>
      <c r="E51" s="300">
        <v>18</v>
      </c>
      <c r="F51" s="300">
        <v>169</v>
      </c>
      <c r="G51" s="300">
        <v>115</v>
      </c>
      <c r="H51" s="300">
        <v>127</v>
      </c>
      <c r="I51" s="315">
        <f t="shared" si="1"/>
        <v>432</v>
      </c>
      <c r="J51" s="322">
        <v>99</v>
      </c>
      <c r="K51" s="25"/>
    </row>
    <row r="52" spans="2:11" x14ac:dyDescent="0.2">
      <c r="B52" s="25"/>
      <c r="C52" s="320"/>
      <c r="D52" s="321"/>
      <c r="E52" s="300"/>
      <c r="F52" s="300"/>
      <c r="G52" s="300"/>
      <c r="H52" s="300"/>
      <c r="I52" s="315"/>
      <c r="J52" s="322"/>
      <c r="K52" s="25"/>
    </row>
    <row r="53" spans="2:11" s="209" customFormat="1" x14ac:dyDescent="0.2">
      <c r="B53" s="130"/>
      <c r="C53" s="320">
        <v>2006</v>
      </c>
      <c r="D53" s="321">
        <v>3</v>
      </c>
      <c r="E53" s="300">
        <v>16</v>
      </c>
      <c r="F53" s="300">
        <v>160</v>
      </c>
      <c r="G53" s="300">
        <v>112</v>
      </c>
      <c r="H53" s="300">
        <v>134</v>
      </c>
      <c r="I53" s="315">
        <f t="shared" si="1"/>
        <v>425</v>
      </c>
      <c r="J53" s="322">
        <v>97</v>
      </c>
      <c r="K53" s="130"/>
    </row>
    <row r="54" spans="2:11" s="209" customFormat="1" x14ac:dyDescent="0.2">
      <c r="B54" s="130"/>
      <c r="C54" s="320">
        <v>2007</v>
      </c>
      <c r="D54" s="321">
        <v>5</v>
      </c>
      <c r="E54" s="300">
        <v>14</v>
      </c>
      <c r="F54" s="300">
        <v>156</v>
      </c>
      <c r="G54" s="300">
        <v>106</v>
      </c>
      <c r="H54" s="300">
        <v>138</v>
      </c>
      <c r="I54" s="300">
        <f t="shared" si="1"/>
        <v>419</v>
      </c>
      <c r="J54" s="322">
        <v>85</v>
      </c>
      <c r="K54" s="130"/>
    </row>
    <row r="55" spans="2:11" x14ac:dyDescent="0.2">
      <c r="B55" s="25"/>
      <c r="C55" s="180">
        <v>2008</v>
      </c>
      <c r="D55" s="147">
        <v>5</v>
      </c>
      <c r="E55" s="147">
        <v>13</v>
      </c>
      <c r="F55" s="147">
        <v>164</v>
      </c>
      <c r="G55" s="147">
        <v>96</v>
      </c>
      <c r="H55" s="147">
        <v>141</v>
      </c>
      <c r="I55" s="147">
        <f>SUM(D55:H55)</f>
        <v>419</v>
      </c>
      <c r="J55" s="147">
        <v>79</v>
      </c>
      <c r="K55" s="25"/>
    </row>
    <row r="56" spans="2:11" x14ac:dyDescent="0.2">
      <c r="B56" s="25"/>
      <c r="C56" s="180">
        <v>2009</v>
      </c>
      <c r="D56" s="147">
        <v>5</v>
      </c>
      <c r="E56" s="147">
        <v>12</v>
      </c>
      <c r="F56" s="147">
        <v>154</v>
      </c>
      <c r="G56" s="147">
        <v>95</v>
      </c>
      <c r="H56" s="147">
        <v>138</v>
      </c>
      <c r="I56" s="147">
        <f>SUM(D56:H56)</f>
        <v>404</v>
      </c>
      <c r="J56" s="147">
        <v>80</v>
      </c>
      <c r="K56" s="25"/>
    </row>
    <row r="57" spans="2:11" x14ac:dyDescent="0.2">
      <c r="B57" s="25"/>
      <c r="C57" s="180">
        <v>2010</v>
      </c>
      <c r="D57" s="147">
        <v>5</v>
      </c>
      <c r="E57" s="147">
        <v>12</v>
      </c>
      <c r="F57" s="147">
        <v>142</v>
      </c>
      <c r="G57" s="147">
        <v>85</v>
      </c>
      <c r="H57" s="147">
        <v>127</v>
      </c>
      <c r="I57" s="147">
        <f>SUM(D57:H57)</f>
        <v>371</v>
      </c>
      <c r="J57" s="147">
        <v>67</v>
      </c>
      <c r="K57" s="25"/>
    </row>
    <row r="58" spans="2:11" x14ac:dyDescent="0.2">
      <c r="B58" s="25"/>
      <c r="C58" s="180"/>
      <c r="D58" s="147"/>
      <c r="E58" s="147"/>
      <c r="F58" s="147"/>
      <c r="G58" s="147"/>
      <c r="H58" s="147"/>
      <c r="I58" s="147"/>
      <c r="J58" s="147"/>
      <c r="K58" s="25"/>
    </row>
    <row r="59" spans="2:11" x14ac:dyDescent="0.2">
      <c r="B59" s="25"/>
      <c r="C59" s="180">
        <v>2011</v>
      </c>
      <c r="D59" s="147">
        <v>3</v>
      </c>
      <c r="E59" s="147">
        <v>12</v>
      </c>
      <c r="F59" s="147">
        <v>136</v>
      </c>
      <c r="G59" s="147">
        <v>83</v>
      </c>
      <c r="H59" s="147">
        <v>123</v>
      </c>
      <c r="I59" s="147">
        <f t="shared" ref="I59:I64" si="2">SUM(D59:H59)</f>
        <v>357</v>
      </c>
      <c r="J59" s="321">
        <v>39</v>
      </c>
      <c r="K59" s="25"/>
    </row>
    <row r="60" spans="2:11" x14ac:dyDescent="0.2">
      <c r="B60" s="25"/>
      <c r="C60" s="180">
        <v>2012</v>
      </c>
      <c r="D60" s="147">
        <v>3</v>
      </c>
      <c r="E60" s="147">
        <v>12</v>
      </c>
      <c r="F60" s="147">
        <v>129</v>
      </c>
      <c r="G60" s="147">
        <v>78</v>
      </c>
      <c r="H60" s="147">
        <v>118</v>
      </c>
      <c r="I60" s="147">
        <f t="shared" si="2"/>
        <v>340</v>
      </c>
      <c r="J60" s="321">
        <v>36</v>
      </c>
      <c r="K60" s="25"/>
    </row>
    <row r="61" spans="2:11" x14ac:dyDescent="0.2">
      <c r="B61" s="25"/>
      <c r="C61" s="180">
        <v>2013</v>
      </c>
      <c r="D61" s="300">
        <v>3</v>
      </c>
      <c r="E61" s="300">
        <v>12</v>
      </c>
      <c r="F61" s="300">
        <v>125</v>
      </c>
      <c r="G61" s="300">
        <v>73</v>
      </c>
      <c r="H61" s="300">
        <v>117</v>
      </c>
      <c r="I61" s="300">
        <f t="shared" si="2"/>
        <v>330</v>
      </c>
      <c r="J61" s="321">
        <v>34</v>
      </c>
      <c r="K61" s="25"/>
    </row>
    <row r="62" spans="2:11" x14ac:dyDescent="0.2">
      <c r="B62" s="25"/>
      <c r="C62" s="180">
        <v>2014</v>
      </c>
      <c r="D62" s="300">
        <v>3</v>
      </c>
      <c r="E62" s="300">
        <v>10</v>
      </c>
      <c r="F62" s="300">
        <v>119</v>
      </c>
      <c r="G62" s="300">
        <v>66</v>
      </c>
      <c r="H62" s="300">
        <v>110</v>
      </c>
      <c r="I62" s="300">
        <f t="shared" si="2"/>
        <v>308</v>
      </c>
      <c r="J62" s="321">
        <v>29</v>
      </c>
      <c r="K62" s="25"/>
    </row>
    <row r="63" spans="2:11" x14ac:dyDescent="0.2">
      <c r="B63" s="25"/>
      <c r="C63" s="180">
        <v>2015</v>
      </c>
      <c r="D63" s="300">
        <v>3</v>
      </c>
      <c r="E63" s="300">
        <v>9</v>
      </c>
      <c r="F63" s="300">
        <v>111</v>
      </c>
      <c r="G63" s="300">
        <v>61</v>
      </c>
      <c r="H63" s="300">
        <v>118</v>
      </c>
      <c r="I63" s="300">
        <f t="shared" si="2"/>
        <v>302</v>
      </c>
      <c r="J63" s="321">
        <v>31</v>
      </c>
      <c r="K63" s="25"/>
    </row>
    <row r="64" spans="2:11" x14ac:dyDescent="0.2">
      <c r="B64" s="25"/>
      <c r="C64" s="323">
        <v>2016</v>
      </c>
      <c r="D64" s="302">
        <v>4</v>
      </c>
      <c r="E64" s="302">
        <v>7</v>
      </c>
      <c r="F64" s="302">
        <v>95</v>
      </c>
      <c r="G64" s="302">
        <v>53</v>
      </c>
      <c r="H64" s="302">
        <v>118</v>
      </c>
      <c r="I64" s="302">
        <f t="shared" si="2"/>
        <v>277</v>
      </c>
      <c r="J64" s="324">
        <v>28</v>
      </c>
      <c r="K64" s="25"/>
    </row>
    <row r="65" spans="2:10" x14ac:dyDescent="0.2">
      <c r="C65" s="256" t="s">
        <v>70</v>
      </c>
    </row>
    <row r="66" spans="2:10" ht="14.25" x14ac:dyDescent="0.2">
      <c r="B66" s="325"/>
      <c r="C66" s="17" t="s">
        <v>88</v>
      </c>
    </row>
    <row r="67" spans="2:10" ht="24.75" customHeight="1" x14ac:dyDescent="0.2">
      <c r="B67" s="325"/>
      <c r="C67" s="326" t="s">
        <v>101</v>
      </c>
      <c r="D67" s="327"/>
      <c r="E67" s="327"/>
      <c r="F67" s="327"/>
      <c r="G67" s="327"/>
      <c r="H67" s="327"/>
      <c r="I67" s="327"/>
      <c r="J67" s="327"/>
    </row>
    <row r="68" spans="2:10" ht="14.25" x14ac:dyDescent="0.2">
      <c r="B68" s="325"/>
      <c r="C68" s="17" t="s">
        <v>72</v>
      </c>
    </row>
    <row r="69" spans="2:10" ht="14.25" x14ac:dyDescent="0.2">
      <c r="B69" s="325"/>
      <c r="C69" s="17" t="s">
        <v>74</v>
      </c>
    </row>
    <row r="70" spans="2:10" ht="14.25" x14ac:dyDescent="0.2">
      <c r="B70" s="325"/>
    </row>
    <row r="71" spans="2:10" ht="14.25" x14ac:dyDescent="0.2">
      <c r="B71" s="325"/>
      <c r="C71" s="305" t="s">
        <v>108</v>
      </c>
    </row>
    <row r="72" spans="2:10" ht="14.25" x14ac:dyDescent="0.2">
      <c r="B72" s="325"/>
    </row>
    <row r="73" spans="2:10" ht="14.25" x14ac:dyDescent="0.2">
      <c r="B73" s="325"/>
    </row>
    <row r="74" spans="2:10" ht="14.25" x14ac:dyDescent="0.2">
      <c r="B74" s="325"/>
    </row>
    <row r="75" spans="2:10" ht="14.25" x14ac:dyDescent="0.2">
      <c r="B75" s="325"/>
    </row>
    <row r="76" spans="2:10" ht="14.25" x14ac:dyDescent="0.2">
      <c r="B76" s="325"/>
    </row>
    <row r="77" spans="2:10" ht="14.25" x14ac:dyDescent="0.2">
      <c r="B77" s="325"/>
    </row>
    <row r="78" spans="2:10" ht="14.25" x14ac:dyDescent="0.2">
      <c r="B78" s="325"/>
    </row>
    <row r="79" spans="2:10" ht="14.25" x14ac:dyDescent="0.2">
      <c r="B79" s="325"/>
    </row>
    <row r="80" spans="2:10" ht="14.25" x14ac:dyDescent="0.2">
      <c r="B80" s="325"/>
    </row>
    <row r="81" spans="2:13" ht="14.25" x14ac:dyDescent="0.2">
      <c r="B81" s="325"/>
    </row>
    <row r="82" spans="2:13" ht="14.25" x14ac:dyDescent="0.2">
      <c r="B82" s="325"/>
    </row>
    <row r="83" spans="2:13" ht="14.25" x14ac:dyDescent="0.2">
      <c r="B83" s="325"/>
    </row>
    <row r="84" spans="2:13" ht="14.25" x14ac:dyDescent="0.2">
      <c r="B84" s="325"/>
    </row>
    <row r="85" spans="2:13" ht="14.25" x14ac:dyDescent="0.2">
      <c r="B85" s="325"/>
    </row>
    <row r="86" spans="2:13" ht="14.25" x14ac:dyDescent="0.2">
      <c r="B86" s="325"/>
    </row>
    <row r="87" spans="2:13" ht="14.25" x14ac:dyDescent="0.2">
      <c r="B87" s="325"/>
    </row>
    <row r="88" spans="2:13" ht="14.25" x14ac:dyDescent="0.2">
      <c r="B88" s="325"/>
    </row>
    <row r="89" spans="2:13" ht="14.25" x14ac:dyDescent="0.2">
      <c r="B89" s="325"/>
    </row>
    <row r="90" spans="2:13" ht="14.25" x14ac:dyDescent="0.2">
      <c r="B90" s="328"/>
    </row>
    <row r="91" spans="2:13" ht="9" customHeight="1" x14ac:dyDescent="0.2">
      <c r="B91" s="51"/>
      <c r="C91" s="51"/>
      <c r="D91" s="51"/>
      <c r="E91" s="51"/>
      <c r="F91" s="51"/>
      <c r="G91" s="51"/>
      <c r="H91" s="51"/>
      <c r="I91" s="51"/>
    </row>
    <row r="92" spans="2:13" x14ac:dyDescent="0.2"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9"/>
      <c r="M92" s="309"/>
    </row>
  </sheetData>
  <mergeCells count="2">
    <mergeCell ref="C67:J67"/>
    <mergeCell ref="D8:J8"/>
  </mergeCells>
  <phoneticPr fontId="7" type="noConversion"/>
  <printOptions horizontalCentered="1"/>
  <pageMargins left="1" right="1" top="1" bottom="1" header="0.5" footer="0.24"/>
  <pageSetup scale="69" orientation="portrait" r:id="rId1"/>
  <headerFooter alignWithMargins="0"/>
  <rowBreaks count="1" manualBreakCount="1">
    <brk id="72" max="10" man="1"/>
  </rowBreaks>
  <ignoredErrors>
    <ignoredError sqref="I35:I57 I59:I64 I13:I34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80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409575</xdr:colOff>
                <xdr:row>3</xdr:row>
                <xdr:rowOff>114300</xdr:rowOff>
              </to>
            </anchor>
          </objectPr>
        </oleObject>
      </mc:Choice>
      <mc:Fallback>
        <oleObject progId="MSPhotoEd.3" shapeId="2458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4:AQ76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6" sqref="C6"/>
    </sheetView>
  </sheetViews>
  <sheetFormatPr defaultRowHeight="12.75" x14ac:dyDescent="0.2"/>
  <cols>
    <col min="1" max="1" width="2.85546875" style="17" customWidth="1"/>
    <col min="2" max="2" width="6.7109375" style="17" customWidth="1"/>
    <col min="3" max="3" width="11" style="17" customWidth="1"/>
    <col min="4" max="4" width="11.7109375" style="17" customWidth="1"/>
    <col min="5" max="7" width="10.28515625" style="17" customWidth="1"/>
    <col min="8" max="8" width="10.28515625" style="17" hidden="1" customWidth="1"/>
    <col min="9" max="10" width="10.28515625" style="17" customWidth="1"/>
    <col min="11" max="11" width="5.7109375" style="17" customWidth="1"/>
    <col min="12" max="12" width="2.5703125" style="17" customWidth="1"/>
    <col min="13" max="16384" width="9.140625" style="17"/>
  </cols>
  <sheetData>
    <row r="4" spans="2:43" ht="15" x14ac:dyDescent="0.25">
      <c r="F4" s="329"/>
      <c r="G4" s="329"/>
      <c r="H4" s="329"/>
      <c r="I4" s="329"/>
      <c r="J4" s="329"/>
      <c r="K4" s="136"/>
      <c r="L4" s="136"/>
    </row>
    <row r="5" spans="2:43" ht="9" customHeight="1" x14ac:dyDescent="0.2"/>
    <row r="8" spans="2:43" ht="15.75" x14ac:dyDescent="0.25">
      <c r="B8" s="249"/>
      <c r="C8" s="245" t="s">
        <v>247</v>
      </c>
      <c r="D8" s="245"/>
      <c r="E8" s="245"/>
      <c r="F8" s="245"/>
      <c r="G8" s="245"/>
      <c r="H8" s="245"/>
      <c r="I8" s="245"/>
      <c r="J8" s="245"/>
      <c r="K8" s="330"/>
      <c r="L8" s="330"/>
    </row>
    <row r="10" spans="2:43" x14ac:dyDescent="0.2">
      <c r="K10" s="25"/>
      <c r="L10" s="25"/>
    </row>
    <row r="11" spans="2:43" ht="38.25" x14ac:dyDescent="0.2">
      <c r="C11" s="294" t="s">
        <v>0</v>
      </c>
      <c r="D11" s="294" t="s">
        <v>112</v>
      </c>
      <c r="E11" s="294" t="s">
        <v>113</v>
      </c>
      <c r="F11" s="295" t="s">
        <v>114</v>
      </c>
      <c r="G11" s="295" t="s">
        <v>115</v>
      </c>
      <c r="H11" s="295" t="s">
        <v>24</v>
      </c>
      <c r="I11" s="295" t="s">
        <v>58</v>
      </c>
      <c r="J11" s="295" t="s">
        <v>25</v>
      </c>
      <c r="K11" s="331"/>
      <c r="L11" s="331"/>
    </row>
    <row r="13" spans="2:43" x14ac:dyDescent="0.2">
      <c r="C13" s="308">
        <v>1975</v>
      </c>
      <c r="D13" s="308"/>
      <c r="E13" s="315">
        <v>4129</v>
      </c>
      <c r="F13" s="315">
        <v>2320</v>
      </c>
      <c r="G13" s="315">
        <v>169</v>
      </c>
      <c r="H13" s="315"/>
      <c r="I13" s="315">
        <f>SUM(E13:H13)</f>
        <v>6618</v>
      </c>
      <c r="AQ13" s="17">
        <v>4932.3999999999996</v>
      </c>
    </row>
    <row r="14" spans="2:43" x14ac:dyDescent="0.2">
      <c r="C14" s="308">
        <v>1976</v>
      </c>
      <c r="D14" s="308"/>
      <c r="E14" s="315">
        <v>4489</v>
      </c>
      <c r="F14" s="315">
        <v>2842</v>
      </c>
      <c r="G14" s="315">
        <v>190</v>
      </c>
      <c r="H14" s="315"/>
      <c r="I14" s="315">
        <f t="shared" ref="I14:I29" si="0">SUM(E14:H14)</f>
        <v>7521</v>
      </c>
      <c r="J14" s="332">
        <f t="shared" ref="J14:J19" si="1">(I14/I13-1)*100</f>
        <v>13.644605621033534</v>
      </c>
      <c r="AQ14" s="17">
        <v>2281.6999999999998</v>
      </c>
    </row>
    <row r="15" spans="2:43" x14ac:dyDescent="0.2">
      <c r="C15" s="308">
        <v>1977</v>
      </c>
      <c r="D15" s="308"/>
      <c r="E15" s="315">
        <v>4629</v>
      </c>
      <c r="F15" s="315">
        <v>3325</v>
      </c>
      <c r="G15" s="315">
        <v>204</v>
      </c>
      <c r="H15" s="315"/>
      <c r="I15" s="315">
        <f t="shared" si="0"/>
        <v>8158</v>
      </c>
      <c r="J15" s="332">
        <f t="shared" si="1"/>
        <v>8.4696184018082654</v>
      </c>
      <c r="AQ15" s="17">
        <v>100.2</v>
      </c>
    </row>
    <row r="16" spans="2:43" x14ac:dyDescent="0.2">
      <c r="C16" s="308">
        <v>1978</v>
      </c>
      <c r="D16" s="308"/>
      <c r="E16" s="315">
        <v>4916</v>
      </c>
      <c r="F16" s="315">
        <v>3917</v>
      </c>
      <c r="G16" s="315">
        <v>254</v>
      </c>
      <c r="H16" s="315"/>
      <c r="I16" s="315">
        <f t="shared" si="0"/>
        <v>9087</v>
      </c>
      <c r="J16" s="332">
        <f t="shared" si="1"/>
        <v>11.387594998774219</v>
      </c>
      <c r="AQ16" s="17">
        <v>2181.5</v>
      </c>
    </row>
    <row r="17" spans="3:43" x14ac:dyDescent="0.2">
      <c r="C17" s="308">
        <v>1979</v>
      </c>
      <c r="D17" s="308"/>
      <c r="E17" s="315">
        <v>5372</v>
      </c>
      <c r="F17" s="315">
        <v>4888</v>
      </c>
      <c r="G17" s="315">
        <v>292</v>
      </c>
      <c r="H17" s="315"/>
      <c r="I17" s="315">
        <f t="shared" si="0"/>
        <v>10552</v>
      </c>
      <c r="J17" s="332">
        <f t="shared" si="1"/>
        <v>16.121932430945307</v>
      </c>
      <c r="AQ17" s="17">
        <v>2650.7</v>
      </c>
    </row>
    <row r="18" spans="3:43" x14ac:dyDescent="0.2">
      <c r="C18" s="308">
        <v>1980</v>
      </c>
      <c r="D18" s="308"/>
      <c r="E18" s="315">
        <v>5876</v>
      </c>
      <c r="F18" s="315">
        <v>5965</v>
      </c>
      <c r="G18" s="315">
        <v>342</v>
      </c>
      <c r="H18" s="315"/>
      <c r="I18" s="315">
        <f t="shared" si="0"/>
        <v>12183</v>
      </c>
      <c r="J18" s="332">
        <f t="shared" si="1"/>
        <v>15.456785443517806</v>
      </c>
      <c r="AQ18" s="17">
        <v>2971.2</v>
      </c>
    </row>
    <row r="19" spans="3:43" x14ac:dyDescent="0.2">
      <c r="C19" s="308">
        <v>1981</v>
      </c>
      <c r="D19" s="308"/>
      <c r="E19" s="315">
        <v>6656</v>
      </c>
      <c r="F19" s="315">
        <v>7495</v>
      </c>
      <c r="G19" s="315">
        <v>386</v>
      </c>
      <c r="H19" s="315"/>
      <c r="I19" s="315">
        <f t="shared" si="0"/>
        <v>14537</v>
      </c>
      <c r="J19" s="332">
        <f t="shared" si="1"/>
        <v>19.322006074037603</v>
      </c>
      <c r="AQ19" s="17">
        <v>243.6</v>
      </c>
    </row>
    <row r="20" spans="3:43" x14ac:dyDescent="0.2">
      <c r="C20" s="308">
        <v>1982</v>
      </c>
      <c r="D20" s="308"/>
      <c r="E20" s="315">
        <v>7250</v>
      </c>
      <c r="F20" s="315">
        <v>9060</v>
      </c>
      <c r="G20" s="315">
        <v>402</v>
      </c>
      <c r="H20" s="315"/>
      <c r="I20" s="315">
        <f t="shared" si="0"/>
        <v>16712</v>
      </c>
      <c r="J20" s="332">
        <f t="shared" ref="J20:J38" si="2">(I20/I19-1)*100</f>
        <v>14.961821558781052</v>
      </c>
      <c r="AQ20" s="17">
        <v>70.099999999999994</v>
      </c>
    </row>
    <row r="21" spans="3:43" x14ac:dyDescent="0.2">
      <c r="C21" s="308">
        <v>1983</v>
      </c>
      <c r="D21" s="308"/>
      <c r="E21" s="315">
        <v>7304</v>
      </c>
      <c r="F21" s="315">
        <v>9797</v>
      </c>
      <c r="G21" s="315">
        <v>412</v>
      </c>
      <c r="H21" s="315"/>
      <c r="I21" s="315">
        <f t="shared" si="0"/>
        <v>17513</v>
      </c>
      <c r="J21" s="332">
        <f t="shared" si="2"/>
        <v>4.7929631402584993</v>
      </c>
      <c r="AQ21" s="17">
        <v>2657.5</v>
      </c>
    </row>
    <row r="22" spans="3:43" x14ac:dyDescent="0.2">
      <c r="C22" s="308">
        <v>1984</v>
      </c>
      <c r="D22" s="308"/>
      <c r="E22" s="315">
        <v>7306</v>
      </c>
      <c r="F22" s="315">
        <v>9909</v>
      </c>
      <c r="G22" s="315">
        <v>424</v>
      </c>
      <c r="H22" s="315"/>
      <c r="I22" s="315">
        <f t="shared" si="0"/>
        <v>17639</v>
      </c>
      <c r="J22" s="332">
        <f t="shared" si="2"/>
        <v>0.71946553988466722</v>
      </c>
      <c r="AQ22" s="17">
        <v>-320.5</v>
      </c>
    </row>
    <row r="23" spans="3:43" x14ac:dyDescent="0.2">
      <c r="C23" s="308">
        <v>1985</v>
      </c>
      <c r="D23" s="308"/>
      <c r="E23" s="315">
        <v>7731</v>
      </c>
      <c r="F23" s="315">
        <v>10149</v>
      </c>
      <c r="G23" s="315">
        <v>467</v>
      </c>
      <c r="H23" s="315"/>
      <c r="I23" s="315">
        <f t="shared" si="0"/>
        <v>18347</v>
      </c>
      <c r="J23" s="332">
        <f t="shared" si="2"/>
        <v>4.0138329837292375</v>
      </c>
    </row>
    <row r="24" spans="3:43" x14ac:dyDescent="0.2">
      <c r="C24" s="308">
        <v>1986</v>
      </c>
      <c r="D24" s="308"/>
      <c r="E24" s="315">
        <v>7009</v>
      </c>
      <c r="F24" s="315">
        <v>9296</v>
      </c>
      <c r="G24" s="315">
        <v>486</v>
      </c>
      <c r="H24" s="315"/>
      <c r="I24" s="315">
        <f t="shared" si="0"/>
        <v>16791</v>
      </c>
      <c r="J24" s="332">
        <f t="shared" si="2"/>
        <v>-8.4809505641249228</v>
      </c>
      <c r="AQ24" s="17">
        <v>4932.3999999999996</v>
      </c>
    </row>
    <row r="25" spans="3:43" x14ac:dyDescent="0.2">
      <c r="C25" s="308">
        <v>1987</v>
      </c>
      <c r="D25" s="308"/>
      <c r="E25" s="315">
        <v>7104</v>
      </c>
      <c r="F25" s="315">
        <v>9218</v>
      </c>
      <c r="G25" s="315">
        <v>499</v>
      </c>
      <c r="H25" s="315"/>
      <c r="I25" s="315">
        <f t="shared" si="0"/>
        <v>16821</v>
      </c>
      <c r="J25" s="332">
        <f t="shared" si="2"/>
        <v>0.17866714311238763</v>
      </c>
      <c r="AQ25" s="17">
        <v>1209.0999999999999</v>
      </c>
    </row>
    <row r="26" spans="3:43" x14ac:dyDescent="0.2">
      <c r="C26" s="308">
        <v>1988</v>
      </c>
      <c r="D26" s="308"/>
      <c r="E26" s="315">
        <v>7487</v>
      </c>
      <c r="F26" s="315">
        <v>10228</v>
      </c>
      <c r="G26" s="315">
        <v>548</v>
      </c>
      <c r="H26" s="315"/>
      <c r="I26" s="315">
        <f t="shared" si="0"/>
        <v>18263</v>
      </c>
      <c r="J26" s="332">
        <f t="shared" si="2"/>
        <v>8.5726175613816125</v>
      </c>
      <c r="AQ26" s="17">
        <v>95.5</v>
      </c>
    </row>
    <row r="27" spans="3:43" x14ac:dyDescent="0.2">
      <c r="C27" s="308">
        <v>1989</v>
      </c>
      <c r="D27" s="308"/>
      <c r="E27" s="315">
        <v>8002</v>
      </c>
      <c r="F27" s="315">
        <v>11417</v>
      </c>
      <c r="G27" s="315">
        <v>594</v>
      </c>
      <c r="H27" s="315"/>
      <c r="I27" s="315">
        <f t="shared" si="0"/>
        <v>20013</v>
      </c>
      <c r="J27" s="332">
        <f t="shared" si="2"/>
        <v>9.5822154082023658</v>
      </c>
      <c r="AQ27" s="17">
        <v>1113.5999999999999</v>
      </c>
    </row>
    <row r="28" spans="3:43" x14ac:dyDescent="0.2">
      <c r="C28" s="308">
        <v>1990</v>
      </c>
      <c r="D28" s="333"/>
      <c r="E28" s="315">
        <f>8935</f>
        <v>8935</v>
      </c>
      <c r="F28" s="315">
        <v>12717</v>
      </c>
      <c r="G28" s="315">
        <v>608</v>
      </c>
      <c r="H28" s="315"/>
      <c r="I28" s="315">
        <f>SUM(E28:H28)</f>
        <v>22260</v>
      </c>
      <c r="J28" s="332">
        <f t="shared" si="2"/>
        <v>11.227701993704088</v>
      </c>
      <c r="AQ28" s="17">
        <v>460.6</v>
      </c>
    </row>
    <row r="29" spans="3:43" x14ac:dyDescent="0.2">
      <c r="C29" s="308">
        <v>1991</v>
      </c>
      <c r="D29" s="333"/>
      <c r="E29" s="315">
        <f>9426</f>
        <v>9426</v>
      </c>
      <c r="F29" s="315">
        <v>13643</v>
      </c>
      <c r="G29" s="315">
        <v>631</v>
      </c>
      <c r="H29" s="315"/>
      <c r="I29" s="315">
        <f t="shared" si="0"/>
        <v>23700</v>
      </c>
      <c r="J29" s="332">
        <f t="shared" si="2"/>
        <v>6.4690026954177915</v>
      </c>
      <c r="AQ29" s="17">
        <v>653</v>
      </c>
    </row>
    <row r="30" spans="3:43" ht="14.25" x14ac:dyDescent="0.2">
      <c r="C30" s="308">
        <v>1992</v>
      </c>
      <c r="D30" s="334" t="s">
        <v>65</v>
      </c>
      <c r="E30" s="315">
        <f>10031</f>
        <v>10031</v>
      </c>
      <c r="F30" s="315">
        <v>14371</v>
      </c>
      <c r="G30" s="315">
        <v>645</v>
      </c>
      <c r="H30" s="315"/>
      <c r="I30" s="315">
        <f>SUM(E30:H30)</f>
        <v>25047</v>
      </c>
      <c r="J30" s="332">
        <f t="shared" si="2"/>
        <v>5.683544303797472</v>
      </c>
      <c r="AQ30" s="17">
        <v>3723.3</v>
      </c>
    </row>
    <row r="31" spans="3:43" x14ac:dyDescent="0.2">
      <c r="C31" s="308">
        <v>1993</v>
      </c>
      <c r="D31" s="333">
        <v>7529</v>
      </c>
      <c r="E31" s="315">
        <v>3672</v>
      </c>
      <c r="F31" s="315">
        <v>16449</v>
      </c>
      <c r="G31" s="315">
        <v>678</v>
      </c>
      <c r="H31" s="315">
        <v>16</v>
      </c>
      <c r="I31" s="315">
        <v>28328</v>
      </c>
      <c r="J31" s="332">
        <v>13.1</v>
      </c>
      <c r="AQ31" s="17">
        <v>3382</v>
      </c>
    </row>
    <row r="32" spans="3:43" x14ac:dyDescent="0.2">
      <c r="C32" s="308">
        <v>1994</v>
      </c>
      <c r="D32" s="333">
        <v>8849</v>
      </c>
      <c r="E32" s="315">
        <v>3081</v>
      </c>
      <c r="F32" s="315">
        <v>18920</v>
      </c>
      <c r="G32" s="315">
        <v>730</v>
      </c>
      <c r="H32" s="315">
        <v>32</v>
      </c>
      <c r="I32" s="315">
        <f t="shared" ref="I32:I38" si="3">SUM(D32:H32)</f>
        <v>31612</v>
      </c>
      <c r="J32" s="332">
        <f t="shared" si="2"/>
        <v>11.592770403840724</v>
      </c>
    </row>
    <row r="33" spans="2:12" x14ac:dyDescent="0.2">
      <c r="C33" s="308">
        <v>1995</v>
      </c>
      <c r="D33" s="333">
        <v>8675</v>
      </c>
      <c r="E33" s="315">
        <v>2884</v>
      </c>
      <c r="F33" s="315">
        <v>21765</v>
      </c>
      <c r="G33" s="315">
        <v>658</v>
      </c>
      <c r="H33" s="315"/>
      <c r="I33" s="315">
        <f t="shared" si="3"/>
        <v>33982</v>
      </c>
      <c r="J33" s="332">
        <f t="shared" si="2"/>
        <v>7.4971529798810499</v>
      </c>
    </row>
    <row r="34" spans="2:12" x14ac:dyDescent="0.2">
      <c r="C34" s="308">
        <v>1996</v>
      </c>
      <c r="D34" s="333">
        <v>9109</v>
      </c>
      <c r="E34" s="315">
        <v>3052</v>
      </c>
      <c r="F34" s="315">
        <v>25069</v>
      </c>
      <c r="G34" s="315">
        <v>689</v>
      </c>
      <c r="H34" s="315"/>
      <c r="I34" s="315">
        <f t="shared" si="3"/>
        <v>37919</v>
      </c>
      <c r="J34" s="332">
        <f t="shared" si="2"/>
        <v>11.585545288682253</v>
      </c>
    </row>
    <row r="35" spans="2:12" x14ac:dyDescent="0.2">
      <c r="C35" s="308"/>
      <c r="D35" s="333"/>
      <c r="E35" s="315"/>
      <c r="F35" s="315"/>
      <c r="G35" s="315"/>
      <c r="H35" s="315"/>
      <c r="I35" s="315"/>
      <c r="J35" s="332"/>
    </row>
    <row r="36" spans="2:12" x14ac:dyDescent="0.2">
      <c r="C36" s="308">
        <v>1997</v>
      </c>
      <c r="D36" s="333">
        <v>9728</v>
      </c>
      <c r="E36" s="315">
        <v>3087</v>
      </c>
      <c r="F36" s="315">
        <v>27640</v>
      </c>
      <c r="G36" s="315">
        <v>708</v>
      </c>
      <c r="H36" s="315"/>
      <c r="I36" s="315">
        <f t="shared" si="3"/>
        <v>41163</v>
      </c>
      <c r="J36" s="332">
        <f>(I36/I34-1)*100</f>
        <v>8.5550779292702828</v>
      </c>
    </row>
    <row r="37" spans="2:12" x14ac:dyDescent="0.2">
      <c r="C37" s="308">
        <v>1998</v>
      </c>
      <c r="D37" s="333">
        <v>9778</v>
      </c>
      <c r="E37" s="315">
        <v>3289</v>
      </c>
      <c r="F37" s="315">
        <v>31364</v>
      </c>
      <c r="G37" s="315">
        <v>738</v>
      </c>
      <c r="H37" s="315"/>
      <c r="I37" s="315">
        <f t="shared" si="3"/>
        <v>45169</v>
      </c>
      <c r="J37" s="332">
        <f t="shared" si="2"/>
        <v>9.7320409105264396</v>
      </c>
    </row>
    <row r="38" spans="2:12" x14ac:dyDescent="0.2">
      <c r="C38" s="308">
        <v>1999</v>
      </c>
      <c r="D38" s="333">
        <v>11342</v>
      </c>
      <c r="E38" s="315">
        <v>3614</v>
      </c>
      <c r="F38" s="315">
        <v>35188</v>
      </c>
      <c r="G38" s="315">
        <v>807</v>
      </c>
      <c r="H38" s="315"/>
      <c r="I38" s="315">
        <f t="shared" si="3"/>
        <v>50951</v>
      </c>
      <c r="J38" s="332">
        <f t="shared" si="2"/>
        <v>12.800814718058851</v>
      </c>
    </row>
    <row r="39" spans="2:12" x14ac:dyDescent="0.2">
      <c r="C39" s="180">
        <v>2000</v>
      </c>
      <c r="D39" s="147">
        <v>13740</v>
      </c>
      <c r="E39" s="147">
        <v>3865</v>
      </c>
      <c r="F39" s="147">
        <v>41361</v>
      </c>
      <c r="G39" s="147">
        <v>956</v>
      </c>
      <c r="H39" s="147"/>
      <c r="I39" s="147">
        <v>59922</v>
      </c>
      <c r="J39" s="296">
        <f t="shared" ref="J39:J46" si="4">(I39/I38-1)*100</f>
        <v>17.607112716139039</v>
      </c>
    </row>
    <row r="40" spans="2:12" x14ac:dyDescent="0.2">
      <c r="B40" s="25"/>
      <c r="C40" s="180">
        <v>2001</v>
      </c>
      <c r="D40" s="147">
        <v>14421</v>
      </c>
      <c r="E40" s="147">
        <v>3983</v>
      </c>
      <c r="F40" s="147">
        <v>45030</v>
      </c>
      <c r="G40" s="147">
        <v>1061</v>
      </c>
      <c r="H40" s="147"/>
      <c r="I40" s="147">
        <v>64495</v>
      </c>
      <c r="J40" s="296">
        <f t="shared" si="4"/>
        <v>7.6315877307165936</v>
      </c>
      <c r="K40" s="25"/>
      <c r="L40" s="25"/>
    </row>
    <row r="41" spans="2:12" x14ac:dyDescent="0.2">
      <c r="B41" s="25"/>
      <c r="C41" s="180"/>
      <c r="D41" s="147"/>
      <c r="E41" s="147"/>
      <c r="F41" s="147"/>
      <c r="G41" s="147"/>
      <c r="H41" s="147"/>
      <c r="I41" s="147"/>
      <c r="J41" s="296"/>
      <c r="K41" s="25"/>
      <c r="L41" s="25"/>
    </row>
    <row r="42" spans="2:12" x14ac:dyDescent="0.2">
      <c r="B42" s="25"/>
      <c r="C42" s="180">
        <v>2002</v>
      </c>
      <c r="D42" s="147">
        <v>14676</v>
      </c>
      <c r="E42" s="147">
        <v>4081</v>
      </c>
      <c r="F42" s="147">
        <v>45448</v>
      </c>
      <c r="G42" s="147">
        <v>1054</v>
      </c>
      <c r="H42" s="147"/>
      <c r="I42" s="147">
        <f>D42+E42+F42+G42</f>
        <v>65259</v>
      </c>
      <c r="J42" s="296">
        <f>(I42/I40-1)*100</f>
        <v>1.1845879525544722</v>
      </c>
      <c r="K42" s="25"/>
      <c r="L42" s="25"/>
    </row>
    <row r="43" spans="2:12" x14ac:dyDescent="0.2">
      <c r="C43" s="180">
        <v>2003</v>
      </c>
      <c r="D43" s="175">
        <v>15104</v>
      </c>
      <c r="E43" s="175">
        <v>4382</v>
      </c>
      <c r="F43" s="175">
        <v>47430</v>
      </c>
      <c r="G43" s="175">
        <v>1162</v>
      </c>
      <c r="H43" s="25"/>
      <c r="I43" s="147">
        <f>D43+E43+F43+G43</f>
        <v>68078</v>
      </c>
      <c r="J43" s="296">
        <f t="shared" si="4"/>
        <v>4.3197106912456595</v>
      </c>
      <c r="K43" s="25"/>
      <c r="L43" s="25"/>
    </row>
    <row r="44" spans="2:12" x14ac:dyDescent="0.2">
      <c r="C44" s="180">
        <v>2004</v>
      </c>
      <c r="D44" s="175">
        <v>13462</v>
      </c>
      <c r="E44" s="175">
        <v>4763</v>
      </c>
      <c r="F44" s="175">
        <v>50618</v>
      </c>
      <c r="G44" s="175">
        <v>1290</v>
      </c>
      <c r="H44" s="25"/>
      <c r="I44" s="147">
        <f>D44+E44+F44+G44</f>
        <v>70133</v>
      </c>
      <c r="J44" s="296">
        <f t="shared" si="4"/>
        <v>3.0185963159904849</v>
      </c>
      <c r="K44" s="25"/>
      <c r="L44" s="25"/>
    </row>
    <row r="45" spans="2:12" x14ac:dyDescent="0.2">
      <c r="C45" s="180">
        <v>2005</v>
      </c>
      <c r="D45" s="175">
        <v>13307</v>
      </c>
      <c r="E45" s="175">
        <v>5046</v>
      </c>
      <c r="F45" s="175">
        <v>55083</v>
      </c>
      <c r="G45" s="175">
        <v>1469</v>
      </c>
      <c r="H45" s="25"/>
      <c r="I45" s="147">
        <f>D45+E45+F45+G45</f>
        <v>74905</v>
      </c>
      <c r="J45" s="296">
        <f t="shared" si="4"/>
        <v>6.8042148489298793</v>
      </c>
      <c r="K45" s="25"/>
      <c r="L45" s="25"/>
    </row>
    <row r="46" spans="2:12" x14ac:dyDescent="0.2">
      <c r="C46" s="180">
        <v>2006</v>
      </c>
      <c r="D46" s="175">
        <v>13642</v>
      </c>
      <c r="E46" s="175">
        <v>5569</v>
      </c>
      <c r="F46" s="175">
        <v>62572</v>
      </c>
      <c r="G46" s="175">
        <v>1749</v>
      </c>
      <c r="H46" s="25"/>
      <c r="I46" s="147">
        <f>D46+E46+F46+G46</f>
        <v>83532</v>
      </c>
      <c r="J46" s="296">
        <f t="shared" si="4"/>
        <v>11.517255189907205</v>
      </c>
      <c r="K46" s="25"/>
      <c r="L46" s="25"/>
    </row>
    <row r="47" spans="2:12" x14ac:dyDescent="0.2">
      <c r="C47" s="180"/>
      <c r="D47" s="175"/>
      <c r="E47" s="175"/>
      <c r="F47" s="175"/>
      <c r="G47" s="175"/>
      <c r="H47" s="25"/>
      <c r="I47" s="147"/>
      <c r="J47" s="296"/>
      <c r="K47" s="25"/>
      <c r="L47" s="25"/>
    </row>
    <row r="48" spans="2:12" x14ac:dyDescent="0.2">
      <c r="C48" s="180">
        <v>2007</v>
      </c>
      <c r="D48" s="175">
        <v>11589</v>
      </c>
      <c r="E48" s="175">
        <v>5549</v>
      </c>
      <c r="F48" s="175">
        <v>67911</v>
      </c>
      <c r="G48" s="175">
        <v>2060</v>
      </c>
      <c r="H48" s="25"/>
      <c r="I48" s="147">
        <f>D48+E48+F48+G48</f>
        <v>87109</v>
      </c>
      <c r="J48" s="296">
        <f>(I48/I46-1)*100</f>
        <v>4.2821912560455866</v>
      </c>
      <c r="K48" s="25"/>
      <c r="L48" s="25"/>
    </row>
    <row r="49" spans="2:12" x14ac:dyDescent="0.2">
      <c r="C49" s="180">
        <v>2008</v>
      </c>
      <c r="D49" s="175">
        <v>11115</v>
      </c>
      <c r="E49" s="175">
        <v>6027</v>
      </c>
      <c r="F49" s="175">
        <v>74107</v>
      </c>
      <c r="G49" s="175">
        <v>2444</v>
      </c>
      <c r="H49" s="25"/>
      <c r="I49" s="147">
        <f>D49+E49+F49+G49</f>
        <v>93693</v>
      </c>
      <c r="J49" s="296">
        <f t="shared" ref="J49:J54" si="5">(I49/I48-1)*100</f>
        <v>7.5583464395183153</v>
      </c>
      <c r="K49" s="25"/>
      <c r="L49" s="25"/>
    </row>
    <row r="50" spans="2:12" x14ac:dyDescent="0.2">
      <c r="C50" s="180">
        <v>2009</v>
      </c>
      <c r="D50" s="175">
        <v>10202</v>
      </c>
      <c r="E50" s="175">
        <v>6071</v>
      </c>
      <c r="F50" s="175">
        <v>73967</v>
      </c>
      <c r="G50" s="175">
        <v>2627</v>
      </c>
      <c r="H50" s="25"/>
      <c r="I50" s="147">
        <f>D50+E50+F50+G50</f>
        <v>92867</v>
      </c>
      <c r="J50" s="296">
        <f t="shared" si="5"/>
        <v>-0.88160268109677142</v>
      </c>
      <c r="K50" s="25"/>
      <c r="L50" s="25"/>
    </row>
    <row r="51" spans="2:12" x14ac:dyDescent="0.2">
      <c r="C51" s="180">
        <v>2010</v>
      </c>
      <c r="D51" s="175">
        <v>9651</v>
      </c>
      <c r="E51" s="175">
        <v>5829</v>
      </c>
      <c r="F51" s="175">
        <v>72994</v>
      </c>
      <c r="G51" s="175">
        <v>2732</v>
      </c>
      <c r="H51" s="25"/>
      <c r="I51" s="147">
        <f>D51+E51+F51+G51</f>
        <v>91206</v>
      </c>
      <c r="J51" s="296">
        <f t="shared" si="5"/>
        <v>-1.7885793661903571</v>
      </c>
      <c r="K51" s="25"/>
      <c r="L51" s="25"/>
    </row>
    <row r="52" spans="2:12" x14ac:dyDescent="0.2">
      <c r="C52" s="180">
        <v>2011</v>
      </c>
      <c r="D52" s="175">
        <v>9060</v>
      </c>
      <c r="E52" s="175">
        <v>6193</v>
      </c>
      <c r="F52" s="175">
        <v>74782</v>
      </c>
      <c r="G52" s="175">
        <v>2929</v>
      </c>
      <c r="H52" s="25"/>
      <c r="I52" s="147">
        <f>D52+E52+F52+G52</f>
        <v>92964</v>
      </c>
      <c r="J52" s="296">
        <f t="shared" si="5"/>
        <v>1.9275047694230718</v>
      </c>
      <c r="K52" s="25"/>
      <c r="L52" s="25"/>
    </row>
    <row r="53" spans="2:12" x14ac:dyDescent="0.2">
      <c r="C53" s="180">
        <v>2012</v>
      </c>
      <c r="D53" s="175">
        <v>8206</v>
      </c>
      <c r="E53" s="175">
        <v>6576</v>
      </c>
      <c r="F53" s="175">
        <v>75754</v>
      </c>
      <c r="G53" s="175">
        <v>3176</v>
      </c>
      <c r="H53" s="25"/>
      <c r="I53" s="147">
        <v>93612</v>
      </c>
      <c r="J53" s="296">
        <f t="shared" si="5"/>
        <v>0.69704401703885033</v>
      </c>
      <c r="K53" s="25"/>
      <c r="L53" s="25"/>
    </row>
    <row r="54" spans="2:12" x14ac:dyDescent="0.2">
      <c r="C54" s="180">
        <v>2013</v>
      </c>
      <c r="D54" s="175">
        <v>7200</v>
      </c>
      <c r="E54" s="175">
        <v>6755</v>
      </c>
      <c r="F54" s="175">
        <v>78070</v>
      </c>
      <c r="G54" s="175">
        <v>3505</v>
      </c>
      <c r="H54" s="25"/>
      <c r="I54" s="147">
        <f>D54+E54+F54+G54</f>
        <v>95530</v>
      </c>
      <c r="J54" s="296">
        <f t="shared" si="5"/>
        <v>2.0488826218860723</v>
      </c>
      <c r="K54" s="25"/>
      <c r="L54" s="25"/>
    </row>
    <row r="55" spans="2:12" x14ac:dyDescent="0.2">
      <c r="C55" s="180">
        <v>2014</v>
      </c>
      <c r="D55" s="175">
        <v>6213</v>
      </c>
      <c r="E55" s="175">
        <v>7037</v>
      </c>
      <c r="F55" s="175">
        <v>82413</v>
      </c>
      <c r="G55" s="175">
        <v>3796</v>
      </c>
      <c r="H55" s="25"/>
      <c r="I55" s="147">
        <f>D55+E55+F55+G55</f>
        <v>99459</v>
      </c>
      <c r="J55" s="296">
        <f>(I55/I54-1)*100</f>
        <v>4.1128441327331622</v>
      </c>
      <c r="K55" s="25"/>
      <c r="L55" s="25"/>
    </row>
    <row r="56" spans="2:12" x14ac:dyDescent="0.2">
      <c r="C56" s="180">
        <v>2015</v>
      </c>
      <c r="D56" s="175">
        <v>5462</v>
      </c>
      <c r="E56" s="175">
        <v>6186</v>
      </c>
      <c r="F56" s="175">
        <v>83045</v>
      </c>
      <c r="G56" s="175">
        <v>4145</v>
      </c>
      <c r="H56" s="25"/>
      <c r="I56" s="147">
        <f>D56+E56+F56+G56</f>
        <v>98838</v>
      </c>
      <c r="J56" s="296">
        <f>(I56/I55-1)*100</f>
        <v>-0.6243778843543546</v>
      </c>
      <c r="K56" s="25"/>
      <c r="L56" s="25"/>
    </row>
    <row r="57" spans="2:12" x14ac:dyDescent="0.2">
      <c r="C57" s="323">
        <v>2016</v>
      </c>
      <c r="D57" s="214">
        <v>4566</v>
      </c>
      <c r="E57" s="214">
        <v>6399</v>
      </c>
      <c r="F57" s="214">
        <v>80658</v>
      </c>
      <c r="G57" s="214">
        <v>4433</v>
      </c>
      <c r="H57" s="303"/>
      <c r="I57" s="335">
        <f>D57+E57+F57+G57</f>
        <v>96056</v>
      </c>
      <c r="J57" s="304">
        <f>(I57/I56-1)*100</f>
        <v>-2.8147068941095532</v>
      </c>
      <c r="K57" s="25"/>
      <c r="L57" s="25"/>
    </row>
    <row r="58" spans="2:12" x14ac:dyDescent="0.2">
      <c r="C58" s="180"/>
      <c r="D58" s="175"/>
      <c r="E58" s="175"/>
      <c r="F58" s="175"/>
      <c r="G58" s="175"/>
      <c r="H58" s="25"/>
      <c r="I58" s="147"/>
      <c r="J58" s="296"/>
      <c r="K58" s="25"/>
      <c r="L58" s="25"/>
    </row>
    <row r="59" spans="2:12" x14ac:dyDescent="0.2">
      <c r="C59" s="256" t="s">
        <v>70</v>
      </c>
    </row>
    <row r="60" spans="2:12" ht="14.25" x14ac:dyDescent="0.2">
      <c r="B60" s="325"/>
      <c r="C60" s="209" t="s">
        <v>27</v>
      </c>
    </row>
    <row r="61" spans="2:12" ht="14.25" x14ac:dyDescent="0.2">
      <c r="B61" s="325"/>
      <c r="C61" s="209" t="s">
        <v>28</v>
      </c>
    </row>
    <row r="62" spans="2:12" ht="14.25" x14ac:dyDescent="0.2">
      <c r="B62" s="325"/>
      <c r="C62" s="17" t="s">
        <v>34</v>
      </c>
    </row>
    <row r="63" spans="2:12" ht="14.25" x14ac:dyDescent="0.2">
      <c r="B63" s="325"/>
      <c r="C63" s="17" t="s">
        <v>30</v>
      </c>
    </row>
    <row r="64" spans="2:12" ht="14.25" x14ac:dyDescent="0.2">
      <c r="B64" s="325"/>
      <c r="C64" s="17" t="s">
        <v>31</v>
      </c>
    </row>
    <row r="65" spans="2:14" ht="14.25" x14ac:dyDescent="0.2">
      <c r="B65" s="325"/>
      <c r="C65" s="17" t="s">
        <v>32</v>
      </c>
    </row>
    <row r="66" spans="2:14" ht="14.25" x14ac:dyDescent="0.2">
      <c r="B66" s="325"/>
      <c r="C66" s="209" t="s">
        <v>178</v>
      </c>
    </row>
    <row r="67" spans="2:14" ht="14.25" x14ac:dyDescent="0.2">
      <c r="B67" s="325"/>
      <c r="C67" s="17" t="s">
        <v>73</v>
      </c>
    </row>
    <row r="68" spans="2:14" ht="14.25" x14ac:dyDescent="0.2">
      <c r="B68" s="325"/>
      <c r="C68" s="17" t="s">
        <v>33</v>
      </c>
    </row>
    <row r="69" spans="2:14" ht="14.25" x14ac:dyDescent="0.2">
      <c r="B69" s="325"/>
      <c r="C69" s="17" t="s">
        <v>26</v>
      </c>
    </row>
    <row r="70" spans="2:14" ht="14.25" x14ac:dyDescent="0.2">
      <c r="B70" s="328"/>
      <c r="C70" s="17" t="s">
        <v>66</v>
      </c>
    </row>
    <row r="71" spans="2:14" ht="13.5" customHeight="1" x14ac:dyDescent="0.2">
      <c r="B71" s="328"/>
    </row>
    <row r="72" spans="2:14" ht="14.25" x14ac:dyDescent="0.2">
      <c r="B72" s="328"/>
      <c r="C72" s="305" t="s">
        <v>106</v>
      </c>
    </row>
    <row r="73" spans="2:14" ht="14.25" x14ac:dyDescent="0.2">
      <c r="B73" s="328"/>
    </row>
    <row r="74" spans="2:14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2:14" ht="9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2:14" x14ac:dyDescent="0.2"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9"/>
      <c r="N76" s="309"/>
    </row>
  </sheetData>
  <mergeCells count="1">
    <mergeCell ref="C8:J8"/>
  </mergeCells>
  <phoneticPr fontId="7" type="noConversion"/>
  <printOptions horizontalCentered="1"/>
  <pageMargins left="1" right="1" top="1" bottom="1" header="0.5" footer="0.5"/>
  <pageSetup scale="68" orientation="portrait" horizontalDpi="300" verticalDpi="300" r:id="rId1"/>
  <headerFooter alignWithMargins="0"/>
  <rowBreaks count="1" manualBreakCount="1">
    <brk id="73" max="11" man="1"/>
  </rowBreaks>
  <ignoredErrors>
    <ignoredError sqref="I32:I3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285750</xdr:colOff>
                <xdr:row>3</xdr:row>
                <xdr:rowOff>152400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4:AQ81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" sqref="D4"/>
    </sheetView>
  </sheetViews>
  <sheetFormatPr defaultRowHeight="12.75" x14ac:dyDescent="0.2"/>
  <cols>
    <col min="1" max="1" width="2.5703125" style="17" customWidth="1"/>
    <col min="2" max="2" width="8.5703125" style="17" customWidth="1"/>
    <col min="3" max="3" width="7" style="17" customWidth="1"/>
    <col min="4" max="7" width="10" style="17" customWidth="1"/>
    <col min="8" max="8" width="10" style="17" hidden="1" customWidth="1"/>
    <col min="9" max="10" width="10" style="17" customWidth="1"/>
    <col min="11" max="11" width="7.28515625" style="17" customWidth="1"/>
    <col min="12" max="16384" width="9.140625" style="17"/>
  </cols>
  <sheetData>
    <row r="4" spans="2:43" ht="15" x14ac:dyDescent="0.25">
      <c r="G4" s="336"/>
      <c r="H4" s="336"/>
      <c r="I4" s="329"/>
      <c r="J4" s="329"/>
      <c r="K4" s="329"/>
      <c r="L4" s="136"/>
      <c r="M4" s="136"/>
    </row>
    <row r="5" spans="2:43" ht="9" customHeight="1" x14ac:dyDescent="0.2"/>
    <row r="8" spans="2:43" ht="15.75" x14ac:dyDescent="0.25">
      <c r="B8" s="249"/>
      <c r="C8" s="245" t="s">
        <v>248</v>
      </c>
      <c r="D8" s="245"/>
      <c r="E8" s="245"/>
      <c r="F8" s="245"/>
      <c r="G8" s="245"/>
      <c r="H8" s="245"/>
      <c r="I8" s="245"/>
      <c r="J8" s="245"/>
      <c r="K8" s="245"/>
    </row>
    <row r="11" spans="2:43" ht="38.25" x14ac:dyDescent="0.2">
      <c r="C11" s="294" t="s">
        <v>0</v>
      </c>
      <c r="D11" s="294" t="s">
        <v>112</v>
      </c>
      <c r="E11" s="295" t="s">
        <v>113</v>
      </c>
      <c r="F11" s="295" t="s">
        <v>114</v>
      </c>
      <c r="G11" s="295" t="s">
        <v>115</v>
      </c>
      <c r="H11" s="295" t="s">
        <v>24</v>
      </c>
      <c r="I11" s="295" t="s">
        <v>58</v>
      </c>
      <c r="J11" s="295" t="s">
        <v>25</v>
      </c>
      <c r="K11" s="294"/>
    </row>
    <row r="12" spans="2:43" x14ac:dyDescent="0.2">
      <c r="C12" s="331"/>
      <c r="D12" s="331"/>
      <c r="E12" s="331"/>
      <c r="F12" s="331"/>
      <c r="G12" s="331"/>
      <c r="H12" s="331"/>
      <c r="I12" s="331"/>
      <c r="J12" s="331"/>
      <c r="K12" s="331"/>
    </row>
    <row r="13" spans="2:43" x14ac:dyDescent="0.2">
      <c r="C13" s="308">
        <v>1970</v>
      </c>
      <c r="D13" s="315"/>
      <c r="E13" s="315">
        <v>308</v>
      </c>
      <c r="F13" s="315">
        <v>148</v>
      </c>
      <c r="G13" s="315">
        <v>7</v>
      </c>
      <c r="H13" s="315"/>
      <c r="I13" s="315">
        <f t="shared" ref="I13:I23" si="0">SUM(D13:H13)</f>
        <v>463</v>
      </c>
      <c r="J13" s="337"/>
      <c r="K13" s="331"/>
      <c r="AQ13" s="17">
        <v>4932.3999999999996</v>
      </c>
    </row>
    <row r="14" spans="2:43" x14ac:dyDescent="0.2">
      <c r="C14" s="308">
        <v>1971</v>
      </c>
      <c r="D14" s="315"/>
      <c r="E14" s="315">
        <v>368</v>
      </c>
      <c r="F14" s="315">
        <v>203</v>
      </c>
      <c r="G14" s="315">
        <v>14</v>
      </c>
      <c r="H14" s="315"/>
      <c r="I14" s="315">
        <f t="shared" si="0"/>
        <v>585</v>
      </c>
      <c r="J14" s="332">
        <f t="shared" ref="J14:J23" si="1">(I14/I13-1)*100</f>
        <v>26.349892008639308</v>
      </c>
      <c r="K14" s="331"/>
      <c r="AQ14" s="17">
        <v>2281.6999999999998</v>
      </c>
    </row>
    <row r="15" spans="2:43" x14ac:dyDescent="0.2">
      <c r="C15" s="308">
        <v>1972</v>
      </c>
      <c r="D15" s="315"/>
      <c r="E15" s="315">
        <v>687</v>
      </c>
      <c r="F15" s="315">
        <v>284</v>
      </c>
      <c r="G15" s="315">
        <v>19</v>
      </c>
      <c r="H15" s="315"/>
      <c r="I15" s="315">
        <f t="shared" si="0"/>
        <v>990</v>
      </c>
      <c r="J15" s="332">
        <f t="shared" si="1"/>
        <v>69.230769230769226</v>
      </c>
      <c r="K15" s="331"/>
      <c r="AQ15" s="17">
        <v>100.2</v>
      </c>
    </row>
    <row r="16" spans="2:43" x14ac:dyDescent="0.2">
      <c r="C16" s="308">
        <v>1973</v>
      </c>
      <c r="D16" s="315"/>
      <c r="E16" s="315">
        <v>767</v>
      </c>
      <c r="F16" s="315">
        <v>545</v>
      </c>
      <c r="G16" s="315">
        <v>50</v>
      </c>
      <c r="H16" s="315"/>
      <c r="I16" s="315">
        <f t="shared" si="0"/>
        <v>1362</v>
      </c>
      <c r="J16" s="332">
        <f t="shared" si="1"/>
        <v>37.575757575757571</v>
      </c>
      <c r="K16" s="331"/>
      <c r="AQ16" s="17">
        <v>2181.5</v>
      </c>
    </row>
    <row r="17" spans="3:43" x14ac:dyDescent="0.2">
      <c r="C17" s="308">
        <v>1974</v>
      </c>
      <c r="D17" s="315"/>
      <c r="E17" s="315">
        <v>734</v>
      </c>
      <c r="F17" s="315">
        <v>704</v>
      </c>
      <c r="G17" s="315">
        <v>47</v>
      </c>
      <c r="H17" s="315"/>
      <c r="I17" s="315">
        <f t="shared" si="0"/>
        <v>1485</v>
      </c>
      <c r="J17" s="332">
        <f t="shared" si="1"/>
        <v>9.0308370044052779</v>
      </c>
      <c r="AQ17" s="17">
        <v>2650.7</v>
      </c>
    </row>
    <row r="18" spans="3:43" x14ac:dyDescent="0.2">
      <c r="C18" s="308">
        <v>1975</v>
      </c>
      <c r="D18" s="315"/>
      <c r="E18" s="315">
        <v>819</v>
      </c>
      <c r="F18" s="315">
        <v>428</v>
      </c>
      <c r="G18" s="315">
        <v>14</v>
      </c>
      <c r="H18" s="315"/>
      <c r="I18" s="315">
        <f t="shared" si="0"/>
        <v>1261</v>
      </c>
      <c r="J18" s="332">
        <f t="shared" si="1"/>
        <v>-15.084175084175088</v>
      </c>
      <c r="AQ18" s="17">
        <v>2971.2</v>
      </c>
    </row>
    <row r="19" spans="3:43" x14ac:dyDescent="0.2">
      <c r="C19" s="308">
        <v>1976</v>
      </c>
      <c r="D19" s="315"/>
      <c r="E19" s="315">
        <v>638</v>
      </c>
      <c r="F19" s="315">
        <v>639</v>
      </c>
      <c r="G19" s="315">
        <v>24</v>
      </c>
      <c r="H19" s="315"/>
      <c r="I19" s="315">
        <f t="shared" si="0"/>
        <v>1301</v>
      </c>
      <c r="J19" s="332">
        <f t="shared" si="1"/>
        <v>3.1720856463124614</v>
      </c>
      <c r="AQ19" s="17">
        <v>243.6</v>
      </c>
    </row>
    <row r="20" spans="3:43" x14ac:dyDescent="0.2">
      <c r="C20" s="308">
        <v>1977</v>
      </c>
      <c r="D20" s="315"/>
      <c r="E20" s="315">
        <v>710</v>
      </c>
      <c r="F20" s="315">
        <v>840</v>
      </c>
      <c r="G20" s="315">
        <v>26</v>
      </c>
      <c r="H20" s="315"/>
      <c r="I20" s="315">
        <f t="shared" si="0"/>
        <v>1576</v>
      </c>
      <c r="J20" s="332">
        <f t="shared" si="1"/>
        <v>21.137586471944658</v>
      </c>
      <c r="AQ20" s="17">
        <v>70.099999999999994</v>
      </c>
    </row>
    <row r="21" spans="3:43" x14ac:dyDescent="0.2">
      <c r="C21" s="308">
        <v>1978</v>
      </c>
      <c r="D21" s="315"/>
      <c r="E21" s="315">
        <v>826</v>
      </c>
      <c r="F21" s="315">
        <v>1011</v>
      </c>
      <c r="G21" s="315">
        <v>68</v>
      </c>
      <c r="H21" s="315"/>
      <c r="I21" s="315">
        <f t="shared" si="0"/>
        <v>1905</v>
      </c>
      <c r="J21" s="332">
        <f t="shared" si="1"/>
        <v>20.875634517766507</v>
      </c>
      <c r="AQ21" s="17">
        <v>2657.5</v>
      </c>
    </row>
    <row r="22" spans="3:43" x14ac:dyDescent="0.2">
      <c r="C22" s="308">
        <v>1979</v>
      </c>
      <c r="D22" s="315"/>
      <c r="E22" s="315">
        <v>1020</v>
      </c>
      <c r="F22" s="315">
        <v>1457</v>
      </c>
      <c r="G22" s="315">
        <v>56</v>
      </c>
      <c r="H22" s="315"/>
      <c r="I22" s="315">
        <f t="shared" si="0"/>
        <v>2533</v>
      </c>
      <c r="J22" s="332">
        <f t="shared" si="1"/>
        <v>32.965879265091871</v>
      </c>
      <c r="AQ22" s="17">
        <v>-320.5</v>
      </c>
    </row>
    <row r="23" spans="3:43" x14ac:dyDescent="0.2">
      <c r="C23" s="308">
        <v>1980</v>
      </c>
      <c r="D23" s="315"/>
      <c r="E23" s="315">
        <v>1159</v>
      </c>
      <c r="F23" s="315">
        <v>1751</v>
      </c>
      <c r="G23" s="315">
        <v>69</v>
      </c>
      <c r="H23" s="315"/>
      <c r="I23" s="315">
        <f t="shared" si="0"/>
        <v>2979</v>
      </c>
      <c r="J23" s="332">
        <f t="shared" si="1"/>
        <v>17.607579944729569</v>
      </c>
    </row>
    <row r="24" spans="3:43" x14ac:dyDescent="0.2">
      <c r="C24" s="308">
        <v>1981</v>
      </c>
      <c r="D24" s="315"/>
      <c r="E24" s="315">
        <v>1151</v>
      </c>
      <c r="F24" s="315">
        <v>1836</v>
      </c>
      <c r="G24" s="315">
        <v>65</v>
      </c>
      <c r="H24" s="315"/>
      <c r="I24" s="315">
        <f t="shared" ref="I24:I34" si="2">SUM(D24:H24)</f>
        <v>3052</v>
      </c>
      <c r="J24" s="332">
        <f>(I24/I23-1)*100</f>
        <v>2.450486740516955</v>
      </c>
      <c r="AQ24" s="17">
        <v>4932.3999999999996</v>
      </c>
    </row>
    <row r="25" spans="3:43" x14ac:dyDescent="0.2">
      <c r="C25" s="308">
        <v>1982</v>
      </c>
      <c r="D25" s="315"/>
      <c r="E25" s="315">
        <v>948</v>
      </c>
      <c r="F25" s="315">
        <v>1927</v>
      </c>
      <c r="G25" s="315">
        <v>55</v>
      </c>
      <c r="H25" s="315"/>
      <c r="I25" s="315">
        <f t="shared" si="2"/>
        <v>2930</v>
      </c>
      <c r="J25" s="332">
        <f t="shared" ref="J25:J48" si="3">(I25/I24-1)*100</f>
        <v>-3.9973787680209649</v>
      </c>
      <c r="AQ25" s="17">
        <v>1209.0999999999999</v>
      </c>
    </row>
    <row r="26" spans="3:43" x14ac:dyDescent="0.2">
      <c r="C26" s="308">
        <v>1983</v>
      </c>
      <c r="D26" s="315"/>
      <c r="E26" s="315">
        <v>693</v>
      </c>
      <c r="F26" s="315">
        <v>1549</v>
      </c>
      <c r="G26" s="315">
        <v>42</v>
      </c>
      <c r="H26" s="315"/>
      <c r="I26" s="315">
        <f t="shared" si="2"/>
        <v>2284</v>
      </c>
      <c r="J26" s="332">
        <f t="shared" si="3"/>
        <v>-22.047781569965874</v>
      </c>
      <c r="AQ26" s="17">
        <v>95.5</v>
      </c>
    </row>
    <row r="27" spans="3:43" x14ac:dyDescent="0.2">
      <c r="C27" s="308">
        <v>1984</v>
      </c>
      <c r="D27" s="315"/>
      <c r="E27" s="315">
        <v>679</v>
      </c>
      <c r="F27" s="315">
        <v>1251</v>
      </c>
      <c r="G27" s="315">
        <v>34</v>
      </c>
      <c r="H27" s="315"/>
      <c r="I27" s="315">
        <f t="shared" si="2"/>
        <v>1964</v>
      </c>
      <c r="J27" s="332">
        <f t="shared" si="3"/>
        <v>-14.010507880910684</v>
      </c>
      <c r="AQ27" s="17">
        <v>1113.5999999999999</v>
      </c>
    </row>
    <row r="28" spans="3:43" x14ac:dyDescent="0.2">
      <c r="C28" s="308">
        <v>1985</v>
      </c>
      <c r="D28" s="315"/>
      <c r="E28" s="315">
        <v>745</v>
      </c>
      <c r="F28" s="315">
        <v>1226</v>
      </c>
      <c r="G28" s="315">
        <v>46</v>
      </c>
      <c r="H28" s="315"/>
      <c r="I28" s="315">
        <f t="shared" si="2"/>
        <v>2017</v>
      </c>
      <c r="J28" s="332">
        <f t="shared" si="3"/>
        <v>2.6985743380855354</v>
      </c>
      <c r="AQ28" s="17">
        <v>460.6</v>
      </c>
    </row>
    <row r="29" spans="3:43" x14ac:dyDescent="0.2">
      <c r="C29" s="308">
        <v>1986</v>
      </c>
      <c r="D29" s="315"/>
      <c r="E29" s="315">
        <v>739</v>
      </c>
      <c r="F29" s="315">
        <v>1280</v>
      </c>
      <c r="G29" s="315">
        <v>46</v>
      </c>
      <c r="H29" s="315"/>
      <c r="I29" s="315">
        <f t="shared" si="2"/>
        <v>2065</v>
      </c>
      <c r="J29" s="332">
        <f t="shared" si="3"/>
        <v>2.379771938522568</v>
      </c>
      <c r="AQ29" s="17">
        <v>653</v>
      </c>
    </row>
    <row r="30" spans="3:43" x14ac:dyDescent="0.2">
      <c r="C30" s="308">
        <v>1987</v>
      </c>
      <c r="D30" s="315"/>
      <c r="E30" s="315">
        <v>879</v>
      </c>
      <c r="F30" s="315">
        <v>1514</v>
      </c>
      <c r="G30" s="315">
        <v>39</v>
      </c>
      <c r="H30" s="315"/>
      <c r="I30" s="315">
        <f t="shared" si="2"/>
        <v>2432</v>
      </c>
      <c r="J30" s="332">
        <f t="shared" si="3"/>
        <v>17.772397094430993</v>
      </c>
      <c r="AQ30" s="17">
        <v>3723.3</v>
      </c>
    </row>
    <row r="31" spans="3:43" x14ac:dyDescent="0.2">
      <c r="C31" s="308">
        <v>1988</v>
      </c>
      <c r="D31" s="315"/>
      <c r="E31" s="315">
        <v>810</v>
      </c>
      <c r="F31" s="315">
        <v>2145</v>
      </c>
      <c r="G31" s="315">
        <v>57</v>
      </c>
      <c r="H31" s="315"/>
      <c r="I31" s="315">
        <f t="shared" si="2"/>
        <v>3012</v>
      </c>
      <c r="J31" s="332">
        <f t="shared" si="3"/>
        <v>23.848684210526304</v>
      </c>
      <c r="AQ31" s="17">
        <v>3382</v>
      </c>
    </row>
    <row r="32" spans="3:43" x14ac:dyDescent="0.2">
      <c r="C32" s="308">
        <v>1989</v>
      </c>
      <c r="D32" s="315"/>
      <c r="E32" s="315">
        <v>928</v>
      </c>
      <c r="F32" s="315">
        <v>2240</v>
      </c>
      <c r="G32" s="315">
        <v>53</v>
      </c>
      <c r="H32" s="315"/>
      <c r="I32" s="315">
        <f t="shared" si="2"/>
        <v>3221</v>
      </c>
      <c r="J32" s="332">
        <f t="shared" si="3"/>
        <v>6.9389110225763551</v>
      </c>
    </row>
    <row r="33" spans="2:11" x14ac:dyDescent="0.2">
      <c r="C33" s="308">
        <v>1990</v>
      </c>
      <c r="D33" s="315">
        <v>1132</v>
      </c>
      <c r="E33" s="315">
        <v>309</v>
      </c>
      <c r="F33" s="315">
        <v>2384</v>
      </c>
      <c r="G33" s="315">
        <v>45</v>
      </c>
      <c r="H33" s="315"/>
      <c r="I33" s="315">
        <f t="shared" si="2"/>
        <v>3870</v>
      </c>
      <c r="J33" s="332">
        <f t="shared" si="3"/>
        <v>20.149022042843832</v>
      </c>
    </row>
    <row r="34" spans="2:11" x14ac:dyDescent="0.2">
      <c r="C34" s="308">
        <v>1991</v>
      </c>
      <c r="D34" s="315">
        <v>795</v>
      </c>
      <c r="E34" s="315">
        <v>315</v>
      </c>
      <c r="F34" s="315">
        <v>2066</v>
      </c>
      <c r="G34" s="315">
        <v>68</v>
      </c>
      <c r="H34" s="315"/>
      <c r="I34" s="315">
        <f t="shared" si="2"/>
        <v>3244</v>
      </c>
      <c r="J34" s="332">
        <f t="shared" si="3"/>
        <v>-16.175710594315241</v>
      </c>
    </row>
    <row r="35" spans="2:11" x14ac:dyDescent="0.2">
      <c r="C35" s="308">
        <v>1992</v>
      </c>
      <c r="D35" s="315">
        <v>964</v>
      </c>
      <c r="E35" s="315">
        <v>350</v>
      </c>
      <c r="F35" s="315">
        <v>2306</v>
      </c>
      <c r="G35" s="315">
        <v>43</v>
      </c>
      <c r="H35" s="315"/>
      <c r="I35" s="315">
        <f t="shared" ref="I35:I43" si="4">SUM(D35:H35)</f>
        <v>3663</v>
      </c>
      <c r="J35" s="332">
        <f t="shared" si="3"/>
        <v>12.916152897657218</v>
      </c>
    </row>
    <row r="36" spans="2:11" x14ac:dyDescent="0.2">
      <c r="C36" s="308">
        <v>1993</v>
      </c>
      <c r="D36" s="315">
        <v>1156</v>
      </c>
      <c r="E36" s="315">
        <v>266</v>
      </c>
      <c r="F36" s="315">
        <v>2681</v>
      </c>
      <c r="G36" s="315">
        <v>61</v>
      </c>
      <c r="H36" s="315">
        <v>16</v>
      </c>
      <c r="I36" s="315">
        <f t="shared" si="4"/>
        <v>4180</v>
      </c>
      <c r="J36" s="332">
        <f t="shared" si="3"/>
        <v>14.114114114114118</v>
      </c>
    </row>
    <row r="37" spans="2:11" x14ac:dyDescent="0.2">
      <c r="C37" s="308">
        <v>1994</v>
      </c>
      <c r="D37" s="315">
        <v>1094</v>
      </c>
      <c r="E37" s="315">
        <v>342</v>
      </c>
      <c r="F37" s="315">
        <v>3865</v>
      </c>
      <c r="G37" s="315">
        <v>76</v>
      </c>
      <c r="H37" s="315">
        <v>32</v>
      </c>
      <c r="I37" s="315">
        <f t="shared" si="4"/>
        <v>5409</v>
      </c>
      <c r="J37" s="332">
        <f t="shared" si="3"/>
        <v>29.401913875598098</v>
      </c>
    </row>
    <row r="38" spans="2:11" x14ac:dyDescent="0.2">
      <c r="C38" s="308">
        <v>1995</v>
      </c>
      <c r="D38" s="315">
        <v>1040</v>
      </c>
      <c r="E38" s="315">
        <v>318</v>
      </c>
      <c r="F38" s="315">
        <v>4252</v>
      </c>
      <c r="G38" s="315">
        <v>85</v>
      </c>
      <c r="H38" s="315"/>
      <c r="I38" s="315">
        <f t="shared" si="4"/>
        <v>5695</v>
      </c>
      <c r="J38" s="332">
        <f t="shared" si="3"/>
        <v>5.2874838232575438</v>
      </c>
    </row>
    <row r="39" spans="2:11" x14ac:dyDescent="0.2">
      <c r="C39" s="308">
        <v>1996</v>
      </c>
      <c r="D39" s="315">
        <v>1318</v>
      </c>
      <c r="E39" s="315">
        <v>378</v>
      </c>
      <c r="F39" s="315">
        <v>5340</v>
      </c>
      <c r="G39" s="315">
        <v>88</v>
      </c>
      <c r="H39" s="315"/>
      <c r="I39" s="315">
        <f t="shared" si="4"/>
        <v>7124</v>
      </c>
      <c r="J39" s="332">
        <f t="shared" si="3"/>
        <v>25.092186128182625</v>
      </c>
    </row>
    <row r="40" spans="2:11" x14ac:dyDescent="0.2">
      <c r="C40" s="308"/>
      <c r="D40" s="315"/>
      <c r="E40" s="315"/>
      <c r="F40" s="315"/>
      <c r="G40" s="315"/>
      <c r="H40" s="315"/>
      <c r="I40" s="315"/>
      <c r="J40" s="332"/>
    </row>
    <row r="41" spans="2:11" x14ac:dyDescent="0.2">
      <c r="C41" s="308">
        <v>1997</v>
      </c>
      <c r="D41" s="315">
        <v>1326</v>
      </c>
      <c r="E41" s="315">
        <v>369</v>
      </c>
      <c r="F41" s="315">
        <v>6529</v>
      </c>
      <c r="G41" s="315">
        <v>97</v>
      </c>
      <c r="H41" s="315"/>
      <c r="I41" s="315">
        <f t="shared" si="4"/>
        <v>8321</v>
      </c>
      <c r="J41" s="332">
        <f>(I41/I39-1)*100</f>
        <v>16.802358225715896</v>
      </c>
    </row>
    <row r="42" spans="2:11" x14ac:dyDescent="0.2">
      <c r="C42" s="308">
        <v>1998</v>
      </c>
      <c r="D42" s="315">
        <v>1258</v>
      </c>
      <c r="E42" s="315">
        <v>383</v>
      </c>
      <c r="F42" s="315">
        <v>6783</v>
      </c>
      <c r="G42" s="315">
        <v>77</v>
      </c>
      <c r="H42" s="315"/>
      <c r="I42" s="315">
        <f t="shared" si="4"/>
        <v>8501</v>
      </c>
      <c r="J42" s="332">
        <f t="shared" si="3"/>
        <v>2.163201538276649</v>
      </c>
    </row>
    <row r="43" spans="2:11" x14ac:dyDescent="0.2">
      <c r="C43" s="308">
        <v>1999</v>
      </c>
      <c r="D43" s="315">
        <v>1523</v>
      </c>
      <c r="E43" s="315">
        <v>415</v>
      </c>
      <c r="F43" s="315">
        <v>7345</v>
      </c>
      <c r="G43" s="315">
        <v>116</v>
      </c>
      <c r="H43" s="315"/>
      <c r="I43" s="315">
        <f t="shared" si="4"/>
        <v>9399</v>
      </c>
      <c r="J43" s="332">
        <f t="shared" si="3"/>
        <v>10.563463121985638</v>
      </c>
    </row>
    <row r="44" spans="2:11" x14ac:dyDescent="0.2">
      <c r="C44" s="338">
        <v>2000</v>
      </c>
      <c r="D44" s="339">
        <v>2539</v>
      </c>
      <c r="E44" s="339">
        <v>377</v>
      </c>
      <c r="F44" s="339">
        <v>9595</v>
      </c>
      <c r="G44" s="339">
        <v>182</v>
      </c>
      <c r="H44" s="339"/>
      <c r="I44" s="147">
        <f>SUM(D44:H44)</f>
        <v>12693</v>
      </c>
      <c r="J44" s="332">
        <f t="shared" si="3"/>
        <v>35.046281519310575</v>
      </c>
    </row>
    <row r="45" spans="2:11" x14ac:dyDescent="0.2">
      <c r="B45" s="25"/>
      <c r="C45" s="180">
        <v>2001</v>
      </c>
      <c r="D45" s="147">
        <v>1365</v>
      </c>
      <c r="E45" s="147">
        <v>296</v>
      </c>
      <c r="F45" s="147">
        <v>6654</v>
      </c>
      <c r="G45" s="147">
        <v>141</v>
      </c>
      <c r="H45" s="147"/>
      <c r="I45" s="147">
        <f>SUM(D45:H45)</f>
        <v>8456</v>
      </c>
      <c r="J45" s="296">
        <f t="shared" si="3"/>
        <v>-33.380603482234307</v>
      </c>
      <c r="K45" s="25"/>
    </row>
    <row r="46" spans="2:11" x14ac:dyDescent="0.2">
      <c r="B46" s="25"/>
      <c r="C46" s="180"/>
      <c r="D46" s="147"/>
      <c r="E46" s="147"/>
      <c r="F46" s="147"/>
      <c r="G46" s="147"/>
      <c r="H46" s="147"/>
      <c r="I46" s="147"/>
      <c r="J46" s="296"/>
      <c r="K46" s="25"/>
    </row>
    <row r="47" spans="2:11" x14ac:dyDescent="0.2">
      <c r="B47" s="25"/>
      <c r="C47" s="180">
        <v>2002</v>
      </c>
      <c r="D47" s="147">
        <v>768</v>
      </c>
      <c r="E47" s="147">
        <v>310</v>
      </c>
      <c r="F47" s="147">
        <v>5795</v>
      </c>
      <c r="G47" s="147">
        <v>143</v>
      </c>
      <c r="H47" s="147"/>
      <c r="I47" s="147">
        <f>SUM(D47:H47)</f>
        <v>7016</v>
      </c>
      <c r="J47" s="296">
        <f>(I47/I45-1)*100</f>
        <v>-17.02932828760644</v>
      </c>
      <c r="K47" s="25"/>
    </row>
    <row r="48" spans="2:11" x14ac:dyDescent="0.2">
      <c r="B48" s="25"/>
      <c r="C48" s="180">
        <v>2003</v>
      </c>
      <c r="D48" s="147">
        <v>692</v>
      </c>
      <c r="E48" s="147">
        <v>439</v>
      </c>
      <c r="F48" s="147">
        <v>5941</v>
      </c>
      <c r="G48" s="147">
        <v>182</v>
      </c>
      <c r="H48" s="147"/>
      <c r="I48" s="147">
        <f>SUM(D48:H48)</f>
        <v>7254</v>
      </c>
      <c r="J48" s="296">
        <f t="shared" si="3"/>
        <v>3.3922462941847309</v>
      </c>
      <c r="K48" s="25"/>
    </row>
    <row r="49" spans="2:13" x14ac:dyDescent="0.2">
      <c r="B49" s="25"/>
      <c r="C49" s="180">
        <v>2004</v>
      </c>
      <c r="D49" s="147">
        <v>674</v>
      </c>
      <c r="E49" s="147">
        <v>530</v>
      </c>
      <c r="F49" s="147">
        <v>7480</v>
      </c>
      <c r="G49" s="147">
        <v>208</v>
      </c>
      <c r="H49" s="147"/>
      <c r="I49" s="147">
        <f>SUM(D49:H49)</f>
        <v>8892</v>
      </c>
      <c r="J49" s="296">
        <f>(I49/I48-1)*100</f>
        <v>22.580645161290324</v>
      </c>
      <c r="K49" s="25"/>
    </row>
    <row r="50" spans="2:13" x14ac:dyDescent="0.2">
      <c r="B50" s="25"/>
      <c r="C50" s="180">
        <v>2005</v>
      </c>
      <c r="D50" s="147">
        <v>595</v>
      </c>
      <c r="E50" s="147">
        <v>650</v>
      </c>
      <c r="F50" s="147">
        <v>8694</v>
      </c>
      <c r="G50" s="147">
        <v>271</v>
      </c>
      <c r="H50" s="147"/>
      <c r="I50" s="147">
        <f>SUM(D50:H50)</f>
        <v>10210</v>
      </c>
      <c r="J50" s="296">
        <f>(I50/I49-1)*100</f>
        <v>14.822312190733244</v>
      </c>
      <c r="K50" s="25"/>
    </row>
    <row r="51" spans="2:13" x14ac:dyDescent="0.2">
      <c r="B51" s="25"/>
      <c r="C51" s="180">
        <v>2006</v>
      </c>
      <c r="D51" s="147">
        <v>569</v>
      </c>
      <c r="E51" s="147">
        <v>588</v>
      </c>
      <c r="F51" s="147">
        <v>10735</v>
      </c>
      <c r="G51" s="147">
        <v>385</v>
      </c>
      <c r="H51" s="147"/>
      <c r="I51" s="147">
        <f>SUM(D51:H51)</f>
        <v>12277</v>
      </c>
      <c r="J51" s="296">
        <f>(I51/I50-1)*100</f>
        <v>20.244857982370235</v>
      </c>
      <c r="K51" s="25"/>
    </row>
    <row r="52" spans="2:13" x14ac:dyDescent="0.2">
      <c r="B52" s="25"/>
      <c r="C52" s="180"/>
      <c r="D52" s="147"/>
      <c r="E52" s="147"/>
      <c r="F52" s="147"/>
      <c r="G52" s="147"/>
      <c r="H52" s="147"/>
      <c r="I52" s="147"/>
      <c r="J52" s="296"/>
      <c r="K52" s="25"/>
    </row>
    <row r="53" spans="2:13" x14ac:dyDescent="0.2">
      <c r="B53" s="25"/>
      <c r="C53" s="180">
        <v>2007</v>
      </c>
      <c r="D53" s="147">
        <v>533</v>
      </c>
      <c r="E53" s="147">
        <v>531</v>
      </c>
      <c r="F53" s="147">
        <v>12697</v>
      </c>
      <c r="G53" s="147">
        <v>477</v>
      </c>
      <c r="H53" s="147"/>
      <c r="I53" s="147">
        <f t="shared" ref="I53:I58" si="5">SUM(D53:H53)</f>
        <v>14238</v>
      </c>
      <c r="J53" s="296">
        <f>(I53/I51-1)*100</f>
        <v>15.972957562922542</v>
      </c>
      <c r="K53" s="25"/>
    </row>
    <row r="54" spans="2:13" x14ac:dyDescent="0.2">
      <c r="C54" s="180">
        <v>2008</v>
      </c>
      <c r="D54" s="147">
        <v>293</v>
      </c>
      <c r="E54" s="147">
        <v>510</v>
      </c>
      <c r="F54" s="147">
        <v>10536</v>
      </c>
      <c r="G54" s="147">
        <v>522</v>
      </c>
      <c r="H54" s="25"/>
      <c r="I54" s="147">
        <f t="shared" si="5"/>
        <v>11861</v>
      </c>
      <c r="J54" s="340">
        <f t="shared" ref="J54:J59" si="6">(I54/I53-1)*100</f>
        <v>-16.694760500070238</v>
      </c>
      <c r="K54" s="25"/>
      <c r="L54" s="25"/>
      <c r="M54" s="25"/>
    </row>
    <row r="55" spans="2:13" x14ac:dyDescent="0.2">
      <c r="C55" s="180">
        <v>2009</v>
      </c>
      <c r="D55" s="147">
        <v>220</v>
      </c>
      <c r="E55" s="147">
        <v>487</v>
      </c>
      <c r="F55" s="147">
        <v>6764</v>
      </c>
      <c r="G55" s="147">
        <v>392</v>
      </c>
      <c r="H55" s="25"/>
      <c r="I55" s="147">
        <f t="shared" si="5"/>
        <v>7863</v>
      </c>
      <c r="J55" s="340">
        <f t="shared" si="6"/>
        <v>-33.707107326532338</v>
      </c>
      <c r="K55" s="25"/>
      <c r="L55" s="25"/>
      <c r="M55" s="25"/>
    </row>
    <row r="56" spans="2:13" x14ac:dyDescent="0.2">
      <c r="C56" s="180">
        <v>2010</v>
      </c>
      <c r="D56" s="147">
        <v>230</v>
      </c>
      <c r="E56" s="147">
        <v>432</v>
      </c>
      <c r="F56" s="147">
        <v>7104</v>
      </c>
      <c r="G56" s="147">
        <v>391</v>
      </c>
      <c r="H56" s="25"/>
      <c r="I56" s="147">
        <f t="shared" si="5"/>
        <v>8157</v>
      </c>
      <c r="J56" s="340">
        <f t="shared" si="6"/>
        <v>3.7390309042350189</v>
      </c>
      <c r="K56" s="25"/>
      <c r="L56" s="25"/>
      <c r="M56" s="25"/>
    </row>
    <row r="57" spans="2:13" x14ac:dyDescent="0.2">
      <c r="C57" s="180">
        <v>2011</v>
      </c>
      <c r="D57" s="147">
        <v>156</v>
      </c>
      <c r="E57" s="147">
        <v>485</v>
      </c>
      <c r="F57" s="147">
        <v>7980</v>
      </c>
      <c r="G57" s="147">
        <v>443</v>
      </c>
      <c r="H57" s="25"/>
      <c r="I57" s="147">
        <f t="shared" si="5"/>
        <v>9064</v>
      </c>
      <c r="J57" s="340">
        <f t="shared" si="6"/>
        <v>11.119284050508771</v>
      </c>
      <c r="K57" s="25"/>
      <c r="L57" s="25"/>
      <c r="M57" s="25"/>
    </row>
    <row r="58" spans="2:13" x14ac:dyDescent="0.2">
      <c r="C58" s="180">
        <v>2012</v>
      </c>
      <c r="D58" s="147">
        <v>69</v>
      </c>
      <c r="E58" s="147">
        <v>506</v>
      </c>
      <c r="F58" s="147">
        <v>7940</v>
      </c>
      <c r="G58" s="147">
        <v>456</v>
      </c>
      <c r="H58" s="25"/>
      <c r="I58" s="147">
        <f t="shared" si="5"/>
        <v>8971</v>
      </c>
      <c r="J58" s="340">
        <f t="shared" si="6"/>
        <v>-1.0260370697263932</v>
      </c>
      <c r="K58" s="25"/>
      <c r="L58" s="25"/>
      <c r="M58" s="25"/>
    </row>
    <row r="59" spans="2:13" x14ac:dyDescent="0.2">
      <c r="C59" s="180">
        <v>2013</v>
      </c>
      <c r="D59" s="147">
        <v>48</v>
      </c>
      <c r="E59" s="147">
        <v>430</v>
      </c>
      <c r="F59" s="147">
        <v>8380</v>
      </c>
      <c r="G59" s="147">
        <v>575</v>
      </c>
      <c r="H59" s="25"/>
      <c r="I59" s="147">
        <f>SUM(D59:H59)</f>
        <v>9433</v>
      </c>
      <c r="J59" s="340">
        <f t="shared" si="6"/>
        <v>5.1499275443094517</v>
      </c>
      <c r="K59" s="25"/>
      <c r="L59" s="25"/>
      <c r="M59" s="25"/>
    </row>
    <row r="60" spans="2:13" x14ac:dyDescent="0.2">
      <c r="C60" s="180">
        <v>2014</v>
      </c>
      <c r="D60" s="147">
        <v>29</v>
      </c>
      <c r="E60" s="147">
        <v>408</v>
      </c>
      <c r="F60" s="147">
        <v>9981</v>
      </c>
      <c r="G60" s="147">
        <v>592</v>
      </c>
      <c r="H60" s="25"/>
      <c r="I60" s="147">
        <f>SUM(D60:H60)</f>
        <v>11010</v>
      </c>
      <c r="J60" s="340">
        <f>(I60/I59-1)*100</f>
        <v>16.717905226333095</v>
      </c>
      <c r="K60" s="25"/>
      <c r="L60" s="25"/>
      <c r="M60" s="25"/>
    </row>
    <row r="61" spans="2:13" x14ac:dyDescent="0.2">
      <c r="C61" s="180">
        <v>2015</v>
      </c>
      <c r="D61" s="147">
        <v>40</v>
      </c>
      <c r="E61" s="147">
        <v>506</v>
      </c>
      <c r="F61" s="147">
        <v>10666</v>
      </c>
      <c r="G61" s="147">
        <v>654</v>
      </c>
      <c r="H61" s="25"/>
      <c r="I61" s="147">
        <f>SUM(D61:H61)</f>
        <v>11866</v>
      </c>
      <c r="J61" s="340">
        <f>(I61/I60-1)*100</f>
        <v>7.7747502270663071</v>
      </c>
      <c r="K61" s="25"/>
      <c r="L61" s="25"/>
      <c r="M61" s="25"/>
    </row>
    <row r="62" spans="2:13" x14ac:dyDescent="0.2">
      <c r="C62" s="323">
        <v>2016</v>
      </c>
      <c r="D62" s="335">
        <v>29</v>
      </c>
      <c r="E62" s="335">
        <v>204</v>
      </c>
      <c r="F62" s="335">
        <v>9812</v>
      </c>
      <c r="G62" s="335">
        <v>610</v>
      </c>
      <c r="H62" s="303"/>
      <c r="I62" s="335">
        <f>SUM(D62:H62)</f>
        <v>10655</v>
      </c>
      <c r="J62" s="341">
        <f>(I62/I61-1)*100</f>
        <v>-10.205629529748862</v>
      </c>
      <c r="K62" s="25"/>
      <c r="L62" s="25"/>
      <c r="M62" s="25"/>
    </row>
    <row r="63" spans="2:13" x14ac:dyDescent="0.2">
      <c r="C63" s="180"/>
      <c r="D63" s="147"/>
      <c r="E63" s="147"/>
      <c r="F63" s="147"/>
      <c r="G63" s="147"/>
      <c r="H63" s="25"/>
      <c r="I63" s="147"/>
      <c r="J63" s="340"/>
      <c r="K63" s="25"/>
      <c r="L63" s="25"/>
      <c r="M63" s="25"/>
    </row>
    <row r="64" spans="2:13" x14ac:dyDescent="0.2">
      <c r="C64" s="256" t="s">
        <v>70</v>
      </c>
    </row>
    <row r="65" spans="2:11" ht="14.25" x14ac:dyDescent="0.2">
      <c r="B65" s="325"/>
      <c r="C65" s="17" t="s">
        <v>27</v>
      </c>
    </row>
    <row r="66" spans="2:11" ht="14.25" x14ac:dyDescent="0.2">
      <c r="B66" s="325"/>
      <c r="C66" s="17" t="s">
        <v>28</v>
      </c>
    </row>
    <row r="67" spans="2:11" ht="14.25" x14ac:dyDescent="0.2">
      <c r="B67" s="325"/>
      <c r="C67" s="17" t="s">
        <v>29</v>
      </c>
    </row>
    <row r="68" spans="2:11" ht="14.25" x14ac:dyDescent="0.2">
      <c r="B68" s="325"/>
      <c r="C68" s="17" t="s">
        <v>30</v>
      </c>
    </row>
    <row r="69" spans="2:11" ht="14.25" x14ac:dyDescent="0.2">
      <c r="B69" s="325"/>
      <c r="C69" s="17" t="s">
        <v>31</v>
      </c>
    </row>
    <row r="70" spans="2:11" ht="14.25" x14ac:dyDescent="0.2">
      <c r="B70" s="325"/>
      <c r="C70" s="17" t="s">
        <v>116</v>
      </c>
    </row>
    <row r="71" spans="2:11" ht="14.25" x14ac:dyDescent="0.2">
      <c r="B71" s="325"/>
      <c r="C71" s="209" t="s">
        <v>178</v>
      </c>
    </row>
    <row r="72" spans="2:11" ht="14.25" x14ac:dyDescent="0.2">
      <c r="B72" s="325"/>
      <c r="C72" s="17" t="s">
        <v>73</v>
      </c>
    </row>
    <row r="73" spans="2:11" ht="14.25" x14ac:dyDescent="0.2">
      <c r="B73" s="325"/>
      <c r="C73" s="17" t="s">
        <v>33</v>
      </c>
    </row>
    <row r="74" spans="2:11" ht="14.25" x14ac:dyDescent="0.2">
      <c r="B74" s="325"/>
      <c r="C74" s="17" t="s">
        <v>26</v>
      </c>
    </row>
    <row r="75" spans="2:11" ht="14.25" x14ac:dyDescent="0.2">
      <c r="B75" s="328"/>
      <c r="C75" s="17" t="s">
        <v>66</v>
      </c>
    </row>
    <row r="76" spans="2:11" ht="14.25" x14ac:dyDescent="0.2">
      <c r="B76" s="328"/>
    </row>
    <row r="77" spans="2:11" ht="14.25" x14ac:dyDescent="0.2">
      <c r="B77" s="328"/>
      <c r="C77" s="305" t="s">
        <v>106</v>
      </c>
    </row>
    <row r="78" spans="2:11" ht="14.25" x14ac:dyDescent="0.2">
      <c r="B78" s="328"/>
    </row>
    <row r="79" spans="2:1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2:11" ht="9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2:15" x14ac:dyDescent="0.2"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9"/>
      <c r="O81" s="309"/>
    </row>
  </sheetData>
  <mergeCells count="1">
    <mergeCell ref="C8:K8"/>
  </mergeCells>
  <phoneticPr fontId="7" type="noConversion"/>
  <printOptions horizontalCentered="1"/>
  <pageMargins left="1" right="1" top="1" bottom="1" header="0.5" footer="0.24"/>
  <pageSetup scale="62" orientation="portrait" horizontalDpi="300" verticalDpi="300" r:id="rId1"/>
  <headerFooter alignWithMargins="0"/>
  <rowBreaks count="1" manualBreakCount="1">
    <brk id="78" max="11" man="1"/>
  </rowBreaks>
  <ignoredErrors>
    <ignoredError sqref="I35:I62 I13:I34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3</xdr:row>
                <xdr:rowOff>104775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21"/>
  <sheetViews>
    <sheetView workbookViewId="0">
      <selection activeCell="A5" sqref="A5"/>
    </sheetView>
  </sheetViews>
  <sheetFormatPr defaultRowHeight="12.75" x14ac:dyDescent="0.2"/>
  <cols>
    <col min="1" max="3" width="9.140625" style="17"/>
    <col min="4" max="4" width="16.85546875" style="17" customWidth="1"/>
    <col min="5" max="5" width="15.140625" style="17" customWidth="1"/>
    <col min="6" max="6" width="12.5703125" style="17" customWidth="1"/>
    <col min="7" max="7" width="12.85546875" style="17" customWidth="1"/>
    <col min="8" max="8" width="16" style="17" customWidth="1"/>
    <col min="9" max="16384" width="9.140625" style="17"/>
  </cols>
  <sheetData>
    <row r="2" spans="1:33" ht="15.75" x14ac:dyDescent="0.25">
      <c r="A2" s="249"/>
      <c r="B2" s="289" t="s">
        <v>233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4" spans="1:33" ht="38.25" x14ac:dyDescent="0.2">
      <c r="C4" s="342" t="s">
        <v>0</v>
      </c>
      <c r="D4" s="343" t="s">
        <v>192</v>
      </c>
      <c r="E4" s="344" t="s">
        <v>193</v>
      </c>
      <c r="F4" s="345"/>
      <c r="G4" s="346"/>
      <c r="H4" s="347" t="s">
        <v>194</v>
      </c>
    </row>
    <row r="5" spans="1:33" ht="38.25" x14ac:dyDescent="0.2">
      <c r="C5" s="348"/>
      <c r="D5" s="343" t="s">
        <v>195</v>
      </c>
      <c r="E5" s="349" t="s">
        <v>196</v>
      </c>
      <c r="F5" s="349" t="s">
        <v>197</v>
      </c>
      <c r="G5" s="350" t="s">
        <v>198</v>
      </c>
      <c r="H5" s="351"/>
    </row>
    <row r="6" spans="1:33" x14ac:dyDescent="0.2">
      <c r="C6" s="352">
        <v>2003</v>
      </c>
      <c r="D6" s="353">
        <v>27</v>
      </c>
      <c r="E6" s="353">
        <v>565</v>
      </c>
      <c r="F6" s="353">
        <v>79</v>
      </c>
      <c r="G6" s="353">
        <v>644</v>
      </c>
      <c r="H6" s="353">
        <v>671</v>
      </c>
    </row>
    <row r="7" spans="1:33" x14ac:dyDescent="0.2">
      <c r="C7" s="352">
        <v>2004</v>
      </c>
      <c r="D7" s="353">
        <v>27</v>
      </c>
      <c r="E7" s="353">
        <v>604</v>
      </c>
      <c r="F7" s="353">
        <v>89</v>
      </c>
      <c r="G7" s="353">
        <v>693</v>
      </c>
      <c r="H7" s="353">
        <v>720</v>
      </c>
    </row>
    <row r="8" spans="1:33" x14ac:dyDescent="0.2">
      <c r="C8" s="352">
        <v>2005</v>
      </c>
      <c r="D8" s="353">
        <v>26</v>
      </c>
      <c r="E8" s="353">
        <v>632</v>
      </c>
      <c r="F8" s="353">
        <v>101</v>
      </c>
      <c r="G8" s="353">
        <v>733</v>
      </c>
      <c r="H8" s="353">
        <v>759</v>
      </c>
    </row>
    <row r="9" spans="1:33" x14ac:dyDescent="0.2">
      <c r="C9" s="352">
        <v>2006</v>
      </c>
      <c r="D9" s="353">
        <v>27</v>
      </c>
      <c r="E9" s="353">
        <v>623</v>
      </c>
      <c r="F9" s="353">
        <v>117</v>
      </c>
      <c r="G9" s="353">
        <v>740</v>
      </c>
      <c r="H9" s="353">
        <v>767</v>
      </c>
    </row>
    <row r="10" spans="1:33" x14ac:dyDescent="0.2">
      <c r="C10" s="352">
        <v>2007</v>
      </c>
      <c r="D10" s="353">
        <v>28</v>
      </c>
      <c r="E10" s="353">
        <v>641</v>
      </c>
      <c r="F10" s="353">
        <v>124</v>
      </c>
      <c r="G10" s="353">
        <v>765</v>
      </c>
      <c r="H10" s="353">
        <v>793</v>
      </c>
    </row>
    <row r="11" spans="1:33" x14ac:dyDescent="0.2">
      <c r="C11" s="352">
        <v>2008</v>
      </c>
      <c r="D11" s="353">
        <v>28</v>
      </c>
      <c r="E11" s="353">
        <v>652</v>
      </c>
      <c r="F11" s="353">
        <v>125</v>
      </c>
      <c r="G11" s="353">
        <v>777</v>
      </c>
      <c r="H11" s="353">
        <v>805</v>
      </c>
    </row>
    <row r="12" spans="1:33" x14ac:dyDescent="0.2">
      <c r="C12" s="352">
        <v>2009</v>
      </c>
      <c r="D12" s="353">
        <v>28</v>
      </c>
      <c r="E12" s="353">
        <v>650</v>
      </c>
      <c r="F12" s="353">
        <v>130</v>
      </c>
      <c r="G12" s="353">
        <v>780</v>
      </c>
      <c r="H12" s="353">
        <v>808</v>
      </c>
    </row>
    <row r="13" spans="1:33" x14ac:dyDescent="0.2">
      <c r="C13" s="352">
        <v>2010</v>
      </c>
      <c r="D13" s="353">
        <v>30</v>
      </c>
      <c r="E13" s="353">
        <v>619</v>
      </c>
      <c r="F13" s="353">
        <v>119</v>
      </c>
      <c r="G13" s="353">
        <v>738</v>
      </c>
      <c r="H13" s="353">
        <v>768</v>
      </c>
    </row>
    <row r="14" spans="1:33" x14ac:dyDescent="0.2">
      <c r="C14" s="352">
        <v>2011</v>
      </c>
      <c r="D14" s="353">
        <v>27</v>
      </c>
      <c r="E14" s="353">
        <v>615</v>
      </c>
      <c r="F14" s="353">
        <v>124</v>
      </c>
      <c r="G14" s="353">
        <v>739</v>
      </c>
      <c r="H14" s="353">
        <v>766</v>
      </c>
    </row>
    <row r="15" spans="1:33" x14ac:dyDescent="0.2">
      <c r="C15" s="352">
        <v>2012</v>
      </c>
      <c r="D15" s="353">
        <v>27</v>
      </c>
      <c r="E15" s="353">
        <v>608</v>
      </c>
      <c r="F15" s="353">
        <v>133</v>
      </c>
      <c r="G15" s="353">
        <v>741</v>
      </c>
      <c r="H15" s="353">
        <v>768</v>
      </c>
    </row>
    <row r="16" spans="1:33" x14ac:dyDescent="0.2">
      <c r="C16" s="352">
        <v>2013</v>
      </c>
      <c r="D16" s="353">
        <v>27</v>
      </c>
      <c r="E16" s="353">
        <v>571</v>
      </c>
      <c r="F16" s="353">
        <v>148</v>
      </c>
      <c r="G16" s="353">
        <v>761</v>
      </c>
      <c r="H16" s="353">
        <v>788</v>
      </c>
    </row>
    <row r="17" spans="3:8" x14ac:dyDescent="0.2">
      <c r="C17" s="352">
        <v>2014</v>
      </c>
      <c r="D17" s="353">
        <v>28</v>
      </c>
      <c r="E17" s="353">
        <v>586</v>
      </c>
      <c r="F17" s="353">
        <v>139</v>
      </c>
      <c r="G17" s="353">
        <v>759</v>
      </c>
      <c r="H17" s="353">
        <v>788</v>
      </c>
    </row>
    <row r="18" spans="3:8" x14ac:dyDescent="0.2">
      <c r="C18" s="352">
        <v>2015</v>
      </c>
      <c r="D18" s="353">
        <v>31</v>
      </c>
      <c r="E18" s="353">
        <v>539</v>
      </c>
      <c r="F18" s="353">
        <v>140</v>
      </c>
      <c r="G18" s="353">
        <v>708</v>
      </c>
      <c r="H18" s="353">
        <v>739</v>
      </c>
    </row>
    <row r="19" spans="3:8" x14ac:dyDescent="0.2">
      <c r="C19" s="354">
        <v>2016</v>
      </c>
      <c r="D19" s="355">
        <v>29</v>
      </c>
      <c r="E19" s="355">
        <v>536</v>
      </c>
      <c r="F19" s="355">
        <v>147</v>
      </c>
      <c r="G19" s="355">
        <v>711</v>
      </c>
      <c r="H19" s="355">
        <v>740</v>
      </c>
    </row>
    <row r="21" spans="3:8" x14ac:dyDescent="0.2">
      <c r="C21" s="305" t="s">
        <v>105</v>
      </c>
    </row>
  </sheetData>
  <mergeCells count="4">
    <mergeCell ref="C4:C5"/>
    <mergeCell ref="E4:G4"/>
    <mergeCell ref="H4:H5"/>
    <mergeCell ref="B2:AG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857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238125</xdr:colOff>
                <xdr:row>3</xdr:row>
                <xdr:rowOff>66675</xdr:rowOff>
              </to>
            </anchor>
          </objectPr>
        </oleObject>
      </mc:Choice>
      <mc:Fallback>
        <oleObject progId="MSPhotoEd.3" shapeId="4085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4:BV102"/>
  <sheetViews>
    <sheetView view="pageBreakPreview" topLeftCell="A12" zoomScaleNormal="100" workbookViewId="0">
      <selection activeCell="AK32" sqref="AK32"/>
    </sheetView>
  </sheetViews>
  <sheetFormatPr defaultRowHeight="12.75" outlineLevelCol="1" x14ac:dyDescent="0.2"/>
  <cols>
    <col min="1" max="1" width="3" customWidth="1"/>
    <col min="2" max="2" width="7.5703125" customWidth="1"/>
    <col min="3" max="3" width="33.28515625" customWidth="1"/>
    <col min="4" max="4" width="10.5703125" hidden="1" customWidth="1" outlineLevel="1"/>
    <col min="5" max="12" width="8" hidden="1" customWidth="1" outlineLevel="1"/>
    <col min="13" max="14" width="8" hidden="1" customWidth="1"/>
    <col min="15" max="21" width="8.140625" hidden="1" customWidth="1"/>
    <col min="22" max="27" width="7.7109375" hidden="1" customWidth="1"/>
    <col min="28" max="31" width="12.7109375" hidden="1" customWidth="1"/>
    <col min="32" max="34" width="12.7109375" customWidth="1"/>
    <col min="35" max="35" width="9.5703125" customWidth="1"/>
    <col min="37" max="37" width="9" customWidth="1"/>
  </cols>
  <sheetData>
    <row r="4" spans="2:59" ht="15" x14ac:dyDescent="0.25">
      <c r="Y4" s="238" t="s">
        <v>180</v>
      </c>
      <c r="Z4" s="238"/>
      <c r="AA4" s="238"/>
      <c r="AB4" s="238"/>
      <c r="AC4" s="238"/>
      <c r="AD4" s="238"/>
      <c r="AE4" s="238"/>
      <c r="AF4" s="238"/>
      <c r="AG4" s="238"/>
      <c r="AH4" s="238"/>
      <c r="AI4" s="39"/>
    </row>
    <row r="5" spans="2:59" s="22" customFormat="1" ht="9" customHeight="1" x14ac:dyDescent="0.2"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x14ac:dyDescent="0.2">
      <c r="AY6" s="17"/>
      <c r="AZ6" s="17"/>
      <c r="BA6" s="17"/>
      <c r="BB6" s="17"/>
      <c r="BC6" s="17"/>
      <c r="BD6" s="17"/>
      <c r="BE6" s="17"/>
      <c r="BF6" s="17"/>
      <c r="BG6" s="17"/>
    </row>
    <row r="7" spans="2:59" x14ac:dyDescent="0.2">
      <c r="AL7" s="60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x14ac:dyDescent="0.25">
      <c r="B8" s="59">
        <v>12.1</v>
      </c>
      <c r="C8" s="244" t="s">
        <v>191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126"/>
      <c r="AJ8" s="60"/>
      <c r="AK8" s="60"/>
      <c r="AL8" s="60"/>
    </row>
    <row r="9" spans="2:59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2:59" x14ac:dyDescent="0.2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7"/>
      <c r="AI10" s="57"/>
      <c r="AJ10" s="60"/>
      <c r="AK10" s="60"/>
      <c r="AL10" s="60"/>
    </row>
    <row r="11" spans="2:59" x14ac:dyDescent="0.2">
      <c r="B11" s="60"/>
      <c r="C11" s="68"/>
      <c r="D11" s="68">
        <v>1981</v>
      </c>
      <c r="E11" s="68">
        <v>1982</v>
      </c>
      <c r="F11" s="68">
        <v>1983</v>
      </c>
      <c r="G11" s="68">
        <v>1984</v>
      </c>
      <c r="H11" s="68">
        <v>1985</v>
      </c>
      <c r="I11" s="68">
        <v>1986</v>
      </c>
      <c r="J11" s="68">
        <v>1987</v>
      </c>
      <c r="K11" s="68">
        <v>1988</v>
      </c>
      <c r="L11" s="68">
        <v>1989</v>
      </c>
      <c r="M11" s="68">
        <v>1990</v>
      </c>
      <c r="N11" s="68">
        <v>1991</v>
      </c>
      <c r="O11" s="68">
        <v>1992</v>
      </c>
      <c r="P11" s="68">
        <v>1993</v>
      </c>
      <c r="Q11" s="69">
        <v>1994</v>
      </c>
      <c r="R11" s="69">
        <v>1995</v>
      </c>
      <c r="S11" s="69">
        <v>1996</v>
      </c>
      <c r="T11" s="69">
        <v>1997</v>
      </c>
      <c r="U11" s="69">
        <v>1998</v>
      </c>
      <c r="V11" s="69">
        <v>1999</v>
      </c>
      <c r="W11" s="70">
        <v>2000</v>
      </c>
      <c r="X11" s="71">
        <v>2001</v>
      </c>
      <c r="Y11" s="71">
        <v>2002</v>
      </c>
      <c r="Z11" s="71">
        <v>2003</v>
      </c>
      <c r="AA11" s="71">
        <v>2004</v>
      </c>
      <c r="AB11" s="71">
        <v>2005</v>
      </c>
      <c r="AC11" s="71">
        <v>2006</v>
      </c>
      <c r="AD11" s="71">
        <v>2008</v>
      </c>
      <c r="AE11" s="71">
        <v>2009</v>
      </c>
      <c r="AF11" s="71">
        <v>2010</v>
      </c>
      <c r="AG11" s="71">
        <v>2011</v>
      </c>
      <c r="AH11" s="71">
        <v>2012</v>
      </c>
      <c r="AI11" s="71">
        <v>2013</v>
      </c>
      <c r="AJ11" s="71">
        <v>2014</v>
      </c>
      <c r="AK11" s="71">
        <v>2015</v>
      </c>
      <c r="AL11" s="71">
        <v>2016</v>
      </c>
    </row>
    <row r="12" spans="2:59" x14ac:dyDescent="0.2">
      <c r="B12" s="60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108"/>
      <c r="S12" s="108"/>
      <c r="T12" s="108"/>
      <c r="U12" s="108"/>
      <c r="V12" s="108"/>
      <c r="W12" s="103"/>
      <c r="X12" s="74"/>
      <c r="Y12" s="74"/>
      <c r="Z12" s="74"/>
      <c r="AA12" s="74"/>
      <c r="AB12" s="74"/>
      <c r="AC12" s="74"/>
      <c r="AD12" s="74"/>
      <c r="AE12" s="74"/>
      <c r="AF12" s="74"/>
      <c r="AG12" s="60"/>
      <c r="AH12" s="74"/>
      <c r="AI12" s="74"/>
      <c r="AJ12" s="74"/>
      <c r="AK12" s="74"/>
      <c r="AL12" s="74"/>
    </row>
    <row r="13" spans="2:59" ht="15" x14ac:dyDescent="0.25">
      <c r="B13" s="60"/>
      <c r="C13" s="109" t="s">
        <v>80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Q13">
        <v>4932.3999999999996</v>
      </c>
    </row>
    <row r="14" spans="2:59" ht="15" x14ac:dyDescent="0.25">
      <c r="B14" s="60"/>
      <c r="C14" s="110" t="s">
        <v>117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Q14">
        <v>2281.6999999999998</v>
      </c>
    </row>
    <row r="15" spans="2:59" x14ac:dyDescent="0.2">
      <c r="B15" s="60"/>
      <c r="C15" s="111" t="s">
        <v>36</v>
      </c>
      <c r="D15" s="61">
        <v>21</v>
      </c>
      <c r="E15" s="61">
        <v>22</v>
      </c>
      <c r="F15" s="61">
        <v>22</v>
      </c>
      <c r="G15" s="61">
        <v>28</v>
      </c>
      <c r="H15" s="61">
        <v>28</v>
      </c>
      <c r="I15" s="61">
        <v>28</v>
      </c>
      <c r="J15" s="61">
        <v>28</v>
      </c>
      <c r="K15" s="61">
        <v>29</v>
      </c>
      <c r="L15" s="61">
        <v>30</v>
      </c>
      <c r="M15" s="61">
        <v>30</v>
      </c>
      <c r="N15" s="61">
        <v>30</v>
      </c>
      <c r="O15" s="61">
        <v>30</v>
      </c>
      <c r="P15" s="61">
        <v>28</v>
      </c>
      <c r="Q15" s="61">
        <v>27</v>
      </c>
      <c r="R15" s="61">
        <v>29</v>
      </c>
      <c r="S15" s="61">
        <v>30</v>
      </c>
      <c r="T15" s="61">
        <v>29</v>
      </c>
      <c r="U15" s="61">
        <v>31</v>
      </c>
      <c r="V15" s="61">
        <v>32</v>
      </c>
      <c r="W15" s="61">
        <v>30</v>
      </c>
      <c r="X15" s="61">
        <v>28</v>
      </c>
      <c r="Y15" s="61">
        <v>27</v>
      </c>
      <c r="Z15" s="84">
        <v>27</v>
      </c>
      <c r="AA15" s="84">
        <v>27</v>
      </c>
      <c r="AB15" s="84">
        <v>26</v>
      </c>
      <c r="AC15" s="84">
        <v>27</v>
      </c>
      <c r="AD15" s="84">
        <v>28</v>
      </c>
      <c r="AE15" s="84">
        <v>27</v>
      </c>
      <c r="AF15" s="84">
        <v>30</v>
      </c>
      <c r="AG15" s="84">
        <v>27</v>
      </c>
      <c r="AH15" s="84">
        <v>27</v>
      </c>
      <c r="AI15" s="84">
        <v>27</v>
      </c>
      <c r="AJ15" s="84">
        <v>28</v>
      </c>
      <c r="AK15" s="84">
        <v>31</v>
      </c>
      <c r="AL15" s="84"/>
      <c r="AQ15">
        <v>100.2</v>
      </c>
    </row>
    <row r="16" spans="2:59" x14ac:dyDescent="0.2">
      <c r="B16" s="60"/>
      <c r="C16" s="11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84"/>
      <c r="AA16" s="84"/>
      <c r="AB16" s="84"/>
      <c r="AC16" s="84"/>
      <c r="AD16" s="84"/>
      <c r="AE16" s="84"/>
      <c r="AF16" s="84"/>
      <c r="AG16" s="60"/>
      <c r="AH16" s="84"/>
      <c r="AI16" s="84"/>
      <c r="AJ16" s="84"/>
      <c r="AK16" s="84"/>
      <c r="AL16" s="84"/>
      <c r="AQ16">
        <v>2181.5</v>
      </c>
    </row>
    <row r="17" spans="2:43" ht="15" x14ac:dyDescent="0.25">
      <c r="B17" s="60"/>
      <c r="C17" s="110" t="s">
        <v>119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112"/>
      <c r="V17" s="112"/>
      <c r="W17" s="112"/>
      <c r="X17" s="112"/>
      <c r="Y17" s="112"/>
      <c r="Z17" s="112"/>
      <c r="AA17" s="112"/>
      <c r="AB17" s="112"/>
      <c r="AC17" s="112"/>
      <c r="AD17" s="60"/>
      <c r="AE17" s="60"/>
      <c r="AF17" s="60"/>
      <c r="AG17" s="60"/>
      <c r="AH17" s="60"/>
      <c r="AI17" s="60"/>
      <c r="AJ17" s="60"/>
      <c r="AK17" s="60"/>
      <c r="AL17" s="60"/>
      <c r="AQ17">
        <v>2650.7</v>
      </c>
    </row>
    <row r="18" spans="2:43" hidden="1" x14ac:dyDescent="0.2">
      <c r="B18" s="60"/>
      <c r="C18" s="111" t="s">
        <v>35</v>
      </c>
      <c r="D18" s="61">
        <v>9</v>
      </c>
      <c r="E18" s="61">
        <v>4</v>
      </c>
      <c r="F18" s="61">
        <v>10</v>
      </c>
      <c r="G18" s="61">
        <v>13</v>
      </c>
      <c r="H18" s="61">
        <v>12</v>
      </c>
      <c r="I18" s="61">
        <v>12</v>
      </c>
      <c r="J18" s="61">
        <v>20</v>
      </c>
      <c r="K18" s="61">
        <v>26</v>
      </c>
      <c r="L18" s="61">
        <v>11</v>
      </c>
      <c r="M18" s="61">
        <v>6</v>
      </c>
      <c r="N18" s="61">
        <v>13</v>
      </c>
      <c r="O18" s="61">
        <v>20</v>
      </c>
      <c r="P18" s="61">
        <v>14</v>
      </c>
      <c r="Q18" s="61">
        <v>23</v>
      </c>
      <c r="R18" s="61">
        <v>21</v>
      </c>
      <c r="S18" s="61">
        <v>32</v>
      </c>
      <c r="T18" s="61">
        <v>22</v>
      </c>
      <c r="U18" s="61">
        <v>8</v>
      </c>
      <c r="V18" s="61">
        <v>9</v>
      </c>
      <c r="W18" s="61">
        <v>14</v>
      </c>
      <c r="X18" s="61">
        <v>12</v>
      </c>
      <c r="Y18" s="61">
        <v>0</v>
      </c>
      <c r="Z18" s="84">
        <v>0</v>
      </c>
      <c r="AA18" s="84">
        <v>0</v>
      </c>
      <c r="AB18" s="84">
        <v>0</v>
      </c>
      <c r="AC18" s="84">
        <v>0</v>
      </c>
      <c r="AD18" s="60"/>
      <c r="AE18" s="60"/>
      <c r="AF18" s="60"/>
      <c r="AG18" s="60"/>
      <c r="AH18" s="60"/>
      <c r="AI18" s="60"/>
      <c r="AJ18" s="60"/>
      <c r="AK18" s="60"/>
      <c r="AL18" s="60"/>
      <c r="AQ18">
        <v>2971.2</v>
      </c>
    </row>
    <row r="19" spans="2:43" x14ac:dyDescent="0.2">
      <c r="B19" s="60"/>
      <c r="C19" s="111" t="s">
        <v>36</v>
      </c>
      <c r="D19" s="61">
        <v>72</v>
      </c>
      <c r="E19" s="61">
        <v>74</v>
      </c>
      <c r="F19" s="61">
        <v>77</v>
      </c>
      <c r="G19" s="61">
        <v>86</v>
      </c>
      <c r="H19" s="61">
        <v>91</v>
      </c>
      <c r="I19" s="61">
        <v>90</v>
      </c>
      <c r="J19" s="61">
        <v>92</v>
      </c>
      <c r="K19" s="61">
        <v>106</v>
      </c>
      <c r="L19" s="61">
        <v>109</v>
      </c>
      <c r="M19" s="61">
        <v>105</v>
      </c>
      <c r="N19" s="61">
        <v>106</v>
      </c>
      <c r="O19" s="61">
        <v>118</v>
      </c>
      <c r="P19" s="61">
        <v>131</v>
      </c>
      <c r="Q19" s="61">
        <v>134</v>
      </c>
      <c r="R19" s="61">
        <v>133</v>
      </c>
      <c r="S19" s="61">
        <v>132</v>
      </c>
      <c r="T19" s="61">
        <v>138</v>
      </c>
      <c r="U19" s="61">
        <v>136</v>
      </c>
      <c r="V19" s="61">
        <v>140</v>
      </c>
      <c r="W19" s="61">
        <v>121</v>
      </c>
      <c r="X19" s="61">
        <f t="shared" ref="X19:AC19" si="0">+X82</f>
        <v>121</v>
      </c>
      <c r="Y19" s="61">
        <f t="shared" si="0"/>
        <v>115</v>
      </c>
      <c r="Z19" s="61">
        <f t="shared" si="0"/>
        <v>115</v>
      </c>
      <c r="AA19" s="61">
        <f t="shared" si="0"/>
        <v>117</v>
      </c>
      <c r="AB19" s="61">
        <f t="shared" si="0"/>
        <v>112</v>
      </c>
      <c r="AC19" s="61">
        <f t="shared" si="0"/>
        <v>140</v>
      </c>
      <c r="AD19" s="84">
        <v>146</v>
      </c>
      <c r="AE19" s="84">
        <f>96+32+26</f>
        <v>154</v>
      </c>
      <c r="AF19" s="84">
        <v>175</v>
      </c>
      <c r="AG19" s="60">
        <v>128</v>
      </c>
      <c r="AH19" s="84">
        <v>128</v>
      </c>
      <c r="AI19" s="84">
        <v>133</v>
      </c>
      <c r="AJ19" s="84">
        <v>131</v>
      </c>
      <c r="AK19" s="84"/>
      <c r="AL19" s="84"/>
      <c r="AQ19">
        <v>243.6</v>
      </c>
    </row>
    <row r="20" spans="2:43" x14ac:dyDescent="0.2">
      <c r="B20" s="60"/>
      <c r="C20" s="11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84"/>
      <c r="AE20" s="84"/>
      <c r="AF20" s="84"/>
      <c r="AG20" s="60"/>
      <c r="AH20" s="84"/>
      <c r="AI20" s="84"/>
      <c r="AJ20" s="84"/>
      <c r="AK20" s="84"/>
      <c r="AL20" s="84"/>
      <c r="AQ20">
        <v>70.099999999999994</v>
      </c>
    </row>
    <row r="21" spans="2:43" ht="15" x14ac:dyDescent="0.25">
      <c r="B21" s="60"/>
      <c r="C21" s="110" t="s">
        <v>103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61"/>
      <c r="V21" s="60"/>
      <c r="W21" s="61"/>
      <c r="X21" s="60"/>
      <c r="Y21" s="60"/>
      <c r="Z21" s="113"/>
      <c r="AA21" s="113"/>
      <c r="AB21" s="113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Q21">
        <v>2657.5</v>
      </c>
    </row>
    <row r="22" spans="2:43" ht="15" x14ac:dyDescent="0.25">
      <c r="B22" s="60"/>
      <c r="C22" s="110" t="s">
        <v>162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114"/>
      <c r="V22" s="115"/>
      <c r="W22" s="116"/>
      <c r="X22" s="116"/>
      <c r="Y22" s="116"/>
      <c r="Z22" s="116"/>
      <c r="AA22" s="116"/>
      <c r="AB22" s="116"/>
      <c r="AC22" s="116"/>
      <c r="AD22" s="60"/>
      <c r="AE22" s="60"/>
      <c r="AF22" s="60"/>
      <c r="AG22" s="60"/>
      <c r="AH22" s="60"/>
      <c r="AI22" s="60"/>
      <c r="AJ22" s="60"/>
      <c r="AK22" s="60"/>
      <c r="AL22" s="60"/>
      <c r="AQ22">
        <v>-320.5</v>
      </c>
    </row>
    <row r="23" spans="2:43" x14ac:dyDescent="0.2">
      <c r="B23" s="60"/>
      <c r="C23" s="111" t="s">
        <v>67</v>
      </c>
      <c r="D23" s="75"/>
      <c r="E23" s="75"/>
      <c r="F23" s="75">
        <v>3.1</v>
      </c>
      <c r="G23" s="75">
        <v>3.8</v>
      </c>
      <c r="H23" s="75">
        <v>6</v>
      </c>
      <c r="I23" s="75">
        <v>6.6</v>
      </c>
      <c r="J23" s="75">
        <v>6.8</v>
      </c>
      <c r="K23" s="75">
        <v>8.3000000000000007</v>
      </c>
      <c r="L23" s="75">
        <v>8.9</v>
      </c>
      <c r="M23" s="75">
        <v>9.1</v>
      </c>
      <c r="N23" s="75">
        <v>9.3000000000000007</v>
      </c>
      <c r="O23" s="75">
        <v>8.3000000000000007</v>
      </c>
      <c r="P23" s="117">
        <v>10.4</v>
      </c>
      <c r="Q23" s="75">
        <v>14.2</v>
      </c>
      <c r="R23" s="118">
        <v>15.5</v>
      </c>
      <c r="S23" s="118">
        <v>15.7</v>
      </c>
      <c r="T23" s="75">
        <v>21.3</v>
      </c>
      <c r="U23" s="75">
        <f>SUM(U94:U95,U92)</f>
        <v>31.884802999999998</v>
      </c>
      <c r="V23" s="75">
        <f t="shared" ref="V23:AC23" si="1">SUM(V94:V95,V92)</f>
        <v>32.988280000000003</v>
      </c>
      <c r="W23" s="75">
        <f t="shared" si="1"/>
        <v>50.252262000000002</v>
      </c>
      <c r="X23" s="118">
        <f t="shared" si="1"/>
        <v>49.357517000000001</v>
      </c>
      <c r="Y23" s="118">
        <f t="shared" si="1"/>
        <v>62.442419000000001</v>
      </c>
      <c r="Z23" s="119">
        <f t="shared" si="1"/>
        <v>60.906117999999999</v>
      </c>
      <c r="AA23" s="119">
        <f t="shared" si="1"/>
        <v>70.392916999999997</v>
      </c>
      <c r="AB23" s="119">
        <f t="shared" si="1"/>
        <v>95.826057000000006</v>
      </c>
      <c r="AC23" s="119">
        <f t="shared" si="1"/>
        <v>114.741614</v>
      </c>
      <c r="AD23" s="119">
        <v>148.80000000000001</v>
      </c>
      <c r="AE23" s="119">
        <v>145.30000000000001</v>
      </c>
      <c r="AF23" s="119">
        <v>163.69999999999999</v>
      </c>
      <c r="AG23" s="76">
        <v>184.4</v>
      </c>
      <c r="AH23" s="76">
        <v>190.7</v>
      </c>
      <c r="AI23" s="76">
        <f>18.6+8.8+149.5</f>
        <v>176.9</v>
      </c>
      <c r="AJ23" s="76">
        <v>217.4</v>
      </c>
      <c r="AK23" s="76"/>
      <c r="AL23" s="76"/>
    </row>
    <row r="24" spans="2:43" x14ac:dyDescent="0.2">
      <c r="B24" s="60"/>
      <c r="C24" s="111" t="s">
        <v>46</v>
      </c>
      <c r="D24" s="75"/>
      <c r="E24" s="75"/>
      <c r="F24" s="75">
        <v>2.8</v>
      </c>
      <c r="G24" s="75">
        <v>2.9</v>
      </c>
      <c r="H24" s="75">
        <v>3</v>
      </c>
      <c r="I24" s="75">
        <v>2.8</v>
      </c>
      <c r="J24" s="75">
        <v>3.6</v>
      </c>
      <c r="K24" s="75">
        <v>4</v>
      </c>
      <c r="L24" s="75">
        <v>4.4000000000000004</v>
      </c>
      <c r="M24" s="75">
        <v>4.5999999999999996</v>
      </c>
      <c r="N24" s="75">
        <v>4.4000000000000004</v>
      </c>
      <c r="O24" s="75">
        <v>4.9000000000000004</v>
      </c>
      <c r="P24" s="75">
        <v>5.4</v>
      </c>
      <c r="Q24" s="75">
        <v>5.9</v>
      </c>
      <c r="R24" s="118">
        <v>6.3</v>
      </c>
      <c r="S24" s="118">
        <v>6.7</v>
      </c>
      <c r="T24" s="75">
        <v>9.1999999999999993</v>
      </c>
      <c r="U24" s="75">
        <f>U87</f>
        <v>9.8000290000000003</v>
      </c>
      <c r="V24" s="75">
        <f t="shared" ref="V24:AC24" si="2">V87</f>
        <v>9.9968690000000002</v>
      </c>
      <c r="W24" s="75">
        <f t="shared" si="2"/>
        <v>10.786045</v>
      </c>
      <c r="X24" s="75">
        <f t="shared" si="2"/>
        <v>12.067042000000001</v>
      </c>
      <c r="Y24" s="75">
        <f t="shared" si="2"/>
        <v>12.422836</v>
      </c>
      <c r="Z24" s="75">
        <f t="shared" si="2"/>
        <v>13.570627999999999</v>
      </c>
      <c r="AA24" s="75">
        <f t="shared" si="2"/>
        <v>11.730959</v>
      </c>
      <c r="AB24" s="75">
        <f t="shared" si="2"/>
        <v>19.103974000000001</v>
      </c>
      <c r="AC24" s="75">
        <f t="shared" si="2"/>
        <v>25.030587000000001</v>
      </c>
      <c r="AD24" s="75">
        <v>26.7</v>
      </c>
      <c r="AE24" s="75">
        <v>25.6</v>
      </c>
      <c r="AF24" s="120">
        <v>24</v>
      </c>
      <c r="AG24" s="76">
        <v>23.7</v>
      </c>
      <c r="AH24" s="76">
        <v>23.8</v>
      </c>
      <c r="AI24" s="76">
        <v>14.9</v>
      </c>
      <c r="AJ24" s="76">
        <v>22.7</v>
      </c>
      <c r="AK24" s="76"/>
      <c r="AL24" s="76"/>
      <c r="AQ24">
        <v>4932.3999999999996</v>
      </c>
    </row>
    <row r="25" spans="2:43" x14ac:dyDescent="0.2">
      <c r="B25" s="60"/>
      <c r="C25" s="111" t="s">
        <v>47</v>
      </c>
      <c r="D25" s="75"/>
      <c r="E25" s="75"/>
      <c r="F25" s="75">
        <v>2.9</v>
      </c>
      <c r="G25" s="75">
        <v>3.8</v>
      </c>
      <c r="H25" s="75">
        <v>4.2</v>
      </c>
      <c r="I25" s="75">
        <v>5.5</v>
      </c>
      <c r="J25" s="75">
        <v>5.5</v>
      </c>
      <c r="K25" s="75">
        <v>6.9</v>
      </c>
      <c r="L25" s="75">
        <v>7.1</v>
      </c>
      <c r="M25" s="75">
        <v>7.5</v>
      </c>
      <c r="N25" s="75">
        <v>7.9</v>
      </c>
      <c r="O25" s="75">
        <v>13.5</v>
      </c>
      <c r="P25" s="75">
        <v>20.6</v>
      </c>
      <c r="Q25" s="75">
        <v>20.399999999999999</v>
      </c>
      <c r="R25" s="118">
        <v>19.2</v>
      </c>
      <c r="S25" s="118">
        <v>12.8</v>
      </c>
      <c r="T25" s="75">
        <v>21.5</v>
      </c>
      <c r="U25" s="75">
        <f>SUM(U86,U88,U91,U93,U96)</f>
        <v>25.754124000000001</v>
      </c>
      <c r="V25" s="75">
        <f t="shared" ref="V25:AC25" si="3">SUM(V86,V88,V91,V93,V96)</f>
        <v>29.800332999999995</v>
      </c>
      <c r="W25" s="75">
        <f t="shared" si="3"/>
        <v>42.139158000000002</v>
      </c>
      <c r="X25" s="75">
        <f t="shared" si="3"/>
        <v>51.383851999999997</v>
      </c>
      <c r="Y25" s="75">
        <f t="shared" si="3"/>
        <v>65.184924999999993</v>
      </c>
      <c r="Z25" s="75">
        <f t="shared" si="3"/>
        <v>63.604448999999995</v>
      </c>
      <c r="AA25" s="75">
        <f t="shared" si="3"/>
        <v>65.695994999999996</v>
      </c>
      <c r="AB25" s="75">
        <f t="shared" si="3"/>
        <v>104.62401799999999</v>
      </c>
      <c r="AC25" s="75">
        <f t="shared" si="3"/>
        <v>135.35360599999998</v>
      </c>
      <c r="AD25" s="75">
        <v>146.69999999999999</v>
      </c>
      <c r="AE25" s="75">
        <v>143.30000000000001</v>
      </c>
      <c r="AF25" s="120">
        <v>151.19999999999999</v>
      </c>
      <c r="AG25" s="76">
        <v>171.6</v>
      </c>
      <c r="AH25" s="76">
        <v>169.2</v>
      </c>
      <c r="AI25" s="76">
        <f>31.8+23.9+66.4</f>
        <v>122.10000000000001</v>
      </c>
      <c r="AJ25" s="76">
        <v>214.7</v>
      </c>
      <c r="AK25" s="76"/>
      <c r="AL25" s="76"/>
      <c r="AQ25">
        <v>1209.0999999999999</v>
      </c>
    </row>
    <row r="26" spans="2:43" x14ac:dyDescent="0.2">
      <c r="B26" s="60"/>
      <c r="C26" s="104" t="s">
        <v>81</v>
      </c>
      <c r="D26" s="121">
        <f t="shared" ref="D26:K26" si="4">SUM(D23:D25)</f>
        <v>0</v>
      </c>
      <c r="E26" s="121">
        <f t="shared" si="4"/>
        <v>0</v>
      </c>
      <c r="F26" s="121">
        <f t="shared" si="4"/>
        <v>8.8000000000000007</v>
      </c>
      <c r="G26" s="121">
        <f t="shared" si="4"/>
        <v>10.5</v>
      </c>
      <c r="H26" s="121">
        <f t="shared" ref="H26:N26" si="5">SUM(H23:H25)</f>
        <v>13.2</v>
      </c>
      <c r="I26" s="121">
        <f t="shared" si="4"/>
        <v>14.899999999999999</v>
      </c>
      <c r="J26" s="121">
        <f t="shared" si="4"/>
        <v>15.9</v>
      </c>
      <c r="K26" s="121">
        <f t="shared" si="4"/>
        <v>19.200000000000003</v>
      </c>
      <c r="L26" s="121">
        <f t="shared" si="5"/>
        <v>20.399999999999999</v>
      </c>
      <c r="M26" s="121">
        <f t="shared" si="5"/>
        <v>21.2</v>
      </c>
      <c r="N26" s="121">
        <f t="shared" si="5"/>
        <v>21.6</v>
      </c>
      <c r="O26" s="121">
        <f>SUM(O23:O25)</f>
        <v>26.700000000000003</v>
      </c>
      <c r="P26" s="122">
        <v>36.4</v>
      </c>
      <c r="Q26" s="121">
        <f>SUM(Q23:Q25)</f>
        <v>40.5</v>
      </c>
      <c r="R26" s="121">
        <v>41</v>
      </c>
      <c r="S26" s="121">
        <v>35.200000000000003</v>
      </c>
      <c r="T26" s="121">
        <v>52</v>
      </c>
      <c r="U26" s="121">
        <f>SUM(U23:U25)</f>
        <v>67.438956000000005</v>
      </c>
      <c r="V26" s="121">
        <f t="shared" ref="V26:AC26" si="6">SUM(V23:V25)</f>
        <v>72.785482000000002</v>
      </c>
      <c r="W26" s="121">
        <f t="shared" si="6"/>
        <v>103.17746500000001</v>
      </c>
      <c r="X26" s="121">
        <f t="shared" si="6"/>
        <v>112.80841100000001</v>
      </c>
      <c r="Y26" s="121">
        <f t="shared" si="6"/>
        <v>140.05018000000001</v>
      </c>
      <c r="Z26" s="121">
        <f t="shared" si="6"/>
        <v>138.08119499999998</v>
      </c>
      <c r="AA26" s="121">
        <f t="shared" si="6"/>
        <v>147.81987099999998</v>
      </c>
      <c r="AB26" s="121">
        <f t="shared" si="6"/>
        <v>219.55404900000002</v>
      </c>
      <c r="AC26" s="121">
        <f t="shared" si="6"/>
        <v>275.12580700000001</v>
      </c>
      <c r="AD26" s="121">
        <f>SUM(AD23:AD25)</f>
        <v>322.2</v>
      </c>
      <c r="AE26" s="121">
        <f>SUM(AE23:AE25)</f>
        <v>314.20000000000005</v>
      </c>
      <c r="AF26" s="121">
        <f>SUM(AF23:AF25)</f>
        <v>338.9</v>
      </c>
      <c r="AG26" s="121">
        <f>SUM(AG23:AG25)</f>
        <v>379.7</v>
      </c>
      <c r="AH26" s="127">
        <v>383.7</v>
      </c>
      <c r="AI26" s="127">
        <v>314.10000000000002</v>
      </c>
      <c r="AJ26" s="127">
        <v>454.8</v>
      </c>
      <c r="AK26" s="127"/>
      <c r="AL26" s="127"/>
      <c r="AQ26">
        <v>95.5</v>
      </c>
    </row>
    <row r="27" spans="2:43" x14ac:dyDescent="0.2">
      <c r="B27" s="60"/>
      <c r="C27" s="6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61"/>
      <c r="U27" s="75"/>
      <c r="V27" s="75"/>
      <c r="W27" s="75"/>
      <c r="X27" s="75"/>
      <c r="Y27" s="75"/>
      <c r="Z27" s="75"/>
      <c r="AA27" s="75"/>
      <c r="AB27" s="75"/>
      <c r="AC27" s="75"/>
      <c r="AD27" s="60"/>
      <c r="AE27" s="60"/>
      <c r="AF27" s="60"/>
      <c r="AG27" s="60"/>
      <c r="AH27" s="60"/>
      <c r="AI27" s="60"/>
      <c r="AJ27" s="60"/>
      <c r="AK27" s="60"/>
      <c r="AL27" s="60"/>
      <c r="AQ27">
        <v>1113.5999999999999</v>
      </c>
    </row>
    <row r="28" spans="2:43" hidden="1" x14ac:dyDescent="0.2">
      <c r="B28" s="60"/>
      <c r="C28" s="60" t="s">
        <v>38</v>
      </c>
      <c r="D28" s="75">
        <v>17.7</v>
      </c>
      <c r="E28" s="75"/>
      <c r="F28" s="75"/>
      <c r="G28" s="75"/>
      <c r="H28" s="75">
        <v>17.7</v>
      </c>
      <c r="I28" s="75">
        <v>21.4</v>
      </c>
      <c r="J28" s="75">
        <v>23</v>
      </c>
      <c r="K28" s="75">
        <v>26.5</v>
      </c>
      <c r="L28" s="75">
        <v>29.9</v>
      </c>
      <c r="M28" s="75">
        <v>30.1</v>
      </c>
      <c r="N28" s="75">
        <v>30.2</v>
      </c>
      <c r="O28" s="75">
        <v>30.3</v>
      </c>
      <c r="P28" s="75">
        <v>31</v>
      </c>
      <c r="Q28" s="75">
        <v>37</v>
      </c>
      <c r="R28" s="118" t="s">
        <v>37</v>
      </c>
      <c r="S28" s="118">
        <v>24.4</v>
      </c>
      <c r="T28" s="75">
        <v>44.1</v>
      </c>
      <c r="U28" s="76"/>
      <c r="V28" s="76"/>
      <c r="W28" s="76"/>
      <c r="X28" s="76"/>
      <c r="Y28" s="76"/>
      <c r="Z28" s="76"/>
      <c r="AA28" s="76"/>
      <c r="AB28" s="76"/>
      <c r="AC28" s="76"/>
      <c r="AD28" s="60"/>
      <c r="AE28" s="60"/>
      <c r="AF28" s="60"/>
      <c r="AG28" s="60"/>
      <c r="AH28" s="60"/>
      <c r="AI28" s="60"/>
      <c r="AJ28" s="60"/>
      <c r="AK28" s="60"/>
      <c r="AL28" s="60"/>
      <c r="AQ28">
        <v>460.6</v>
      </c>
    </row>
    <row r="29" spans="2:43" hidden="1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61"/>
      <c r="V29" s="60"/>
      <c r="W29" s="61"/>
      <c r="X29" s="60"/>
      <c r="Y29" s="60"/>
      <c r="Z29" s="81"/>
      <c r="AA29" s="81"/>
      <c r="AB29" s="81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Q29">
        <v>653</v>
      </c>
    </row>
    <row r="30" spans="2:43" ht="15" x14ac:dyDescent="0.25">
      <c r="B30" s="60"/>
      <c r="C30" s="123" t="s">
        <v>123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0"/>
      <c r="W30" s="61"/>
      <c r="X30" s="60"/>
      <c r="Y30" s="60"/>
      <c r="Z30" s="81"/>
      <c r="AA30" s="81"/>
      <c r="AB30" s="81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Q30">
        <v>3723.3</v>
      </c>
    </row>
    <row r="31" spans="2:43" x14ac:dyDescent="0.2">
      <c r="B31" s="60"/>
      <c r="C31" s="111" t="s">
        <v>35</v>
      </c>
      <c r="D31" s="61">
        <v>25</v>
      </c>
      <c r="E31" s="61">
        <v>69</v>
      </c>
      <c r="F31" s="61">
        <v>46</v>
      </c>
      <c r="G31" s="61">
        <v>23</v>
      </c>
      <c r="H31" s="61">
        <v>50</v>
      </c>
      <c r="I31" s="61">
        <v>65</v>
      </c>
      <c r="J31" s="61">
        <v>56</v>
      </c>
      <c r="K31" s="61">
        <v>29</v>
      </c>
      <c r="L31" s="61">
        <v>28</v>
      </c>
      <c r="M31" s="61">
        <v>20</v>
      </c>
      <c r="N31" s="61">
        <v>31</v>
      </c>
      <c r="O31" s="61">
        <v>24</v>
      </c>
      <c r="P31" s="61">
        <v>38</v>
      </c>
      <c r="Q31" s="61">
        <v>45</v>
      </c>
      <c r="R31" s="61">
        <v>49</v>
      </c>
      <c r="S31" s="61">
        <v>41</v>
      </c>
      <c r="T31" s="61">
        <v>50</v>
      </c>
      <c r="U31" s="61">
        <v>52</v>
      </c>
      <c r="V31" s="61">
        <v>37</v>
      </c>
      <c r="W31" s="61">
        <v>45</v>
      </c>
      <c r="X31" s="61">
        <v>47</v>
      </c>
      <c r="Y31" s="61">
        <v>97</v>
      </c>
      <c r="Z31" s="84">
        <v>83</v>
      </c>
      <c r="AA31" s="84">
        <v>75</v>
      </c>
      <c r="AB31" s="84">
        <v>59</v>
      </c>
      <c r="AC31" s="84">
        <v>56</v>
      </c>
      <c r="AD31" s="84">
        <v>32</v>
      </c>
      <c r="AE31" s="84">
        <v>40</v>
      </c>
      <c r="AF31" s="84">
        <v>25</v>
      </c>
      <c r="AG31" s="84">
        <v>38</v>
      </c>
      <c r="AH31" s="84">
        <v>53</v>
      </c>
      <c r="AI31" s="84">
        <v>40</v>
      </c>
      <c r="AJ31" s="84">
        <v>21</v>
      </c>
      <c r="AK31" s="84"/>
      <c r="AL31" s="84"/>
      <c r="AQ31">
        <v>3382</v>
      </c>
    </row>
    <row r="32" spans="2:43" x14ac:dyDescent="0.2">
      <c r="B32" s="60"/>
      <c r="C32" s="111" t="s">
        <v>36</v>
      </c>
      <c r="D32" s="61">
        <v>183</v>
      </c>
      <c r="E32" s="61">
        <v>252</v>
      </c>
      <c r="F32" s="61">
        <v>274</v>
      </c>
      <c r="G32" s="61">
        <v>271</v>
      </c>
      <c r="H32" s="61">
        <v>296</v>
      </c>
      <c r="I32" s="61">
        <v>341</v>
      </c>
      <c r="J32" s="61">
        <v>358</v>
      </c>
      <c r="K32" s="61">
        <v>362</v>
      </c>
      <c r="L32" s="61">
        <v>360</v>
      </c>
      <c r="M32" s="61">
        <v>360</v>
      </c>
      <c r="N32" s="61">
        <v>367</v>
      </c>
      <c r="O32" s="61">
        <v>372</v>
      </c>
      <c r="P32" s="61">
        <v>352</v>
      </c>
      <c r="Q32" s="61">
        <v>361</v>
      </c>
      <c r="R32" s="61">
        <v>390</v>
      </c>
      <c r="S32" s="61">
        <v>418</v>
      </c>
      <c r="T32" s="61">
        <v>449</v>
      </c>
      <c r="U32" s="61">
        <v>485</v>
      </c>
      <c r="V32" s="61">
        <v>497</v>
      </c>
      <c r="W32" s="61">
        <v>516</v>
      </c>
      <c r="X32" s="61">
        <v>543</v>
      </c>
      <c r="Y32" s="61">
        <v>600</v>
      </c>
      <c r="Z32" s="84">
        <v>644</v>
      </c>
      <c r="AA32" s="84">
        <v>693</v>
      </c>
      <c r="AB32" s="84">
        <v>733</v>
      </c>
      <c r="AC32" s="84">
        <v>740</v>
      </c>
      <c r="AD32" s="84">
        <v>777</v>
      </c>
      <c r="AE32" s="84">
        <v>780</v>
      </c>
      <c r="AF32" s="84">
        <v>738</v>
      </c>
      <c r="AG32" s="84">
        <v>739</v>
      </c>
      <c r="AH32" s="84">
        <v>741</v>
      </c>
      <c r="AI32" s="84">
        <v>761</v>
      </c>
      <c r="AJ32" s="84">
        <v>760</v>
      </c>
      <c r="AK32" s="84"/>
      <c r="AL32" s="84"/>
    </row>
    <row r="33" spans="2:38" x14ac:dyDescent="0.2">
      <c r="B33" s="60"/>
      <c r="C33" s="73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0"/>
      <c r="W33" s="61"/>
      <c r="X33" s="60"/>
      <c r="Y33" s="60"/>
      <c r="Z33" s="81"/>
      <c r="AA33" s="81"/>
      <c r="AB33" s="81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2:38" ht="15.75" x14ac:dyDescent="0.25">
      <c r="B34" s="60"/>
      <c r="C34" s="125" t="s">
        <v>148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0"/>
      <c r="W34" s="61"/>
      <c r="X34" s="60"/>
      <c r="Y34" s="60"/>
      <c r="Z34" s="81"/>
      <c r="AA34" s="81"/>
      <c r="AB34" s="81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2:38" x14ac:dyDescent="0.2">
      <c r="B35" s="60"/>
      <c r="C35" s="78" t="s">
        <v>125</v>
      </c>
      <c r="D35" s="61"/>
      <c r="E35" s="61"/>
      <c r="F35" s="61">
        <v>758</v>
      </c>
      <c r="G35" s="61">
        <v>1173</v>
      </c>
      <c r="H35" s="61">
        <v>1261</v>
      </c>
      <c r="I35" s="61">
        <v>1579</v>
      </c>
      <c r="J35" s="61">
        <v>1603</v>
      </c>
      <c r="K35" s="61">
        <v>1613</v>
      </c>
      <c r="L35" s="61">
        <v>1229</v>
      </c>
      <c r="M35" s="61">
        <v>1255</v>
      </c>
      <c r="N35" s="61">
        <v>1525</v>
      </c>
      <c r="O35" s="61">
        <v>1300</v>
      </c>
      <c r="P35" s="61">
        <v>1300</v>
      </c>
      <c r="Q35" s="61">
        <v>1563</v>
      </c>
      <c r="R35" s="62">
        <v>1549</v>
      </c>
      <c r="S35" s="62">
        <v>1299</v>
      </c>
      <c r="T35" s="61">
        <v>2049</v>
      </c>
      <c r="U35" s="61">
        <v>2332</v>
      </c>
      <c r="V35" s="60">
        <v>2372</v>
      </c>
      <c r="W35" s="61">
        <v>3270</v>
      </c>
      <c r="X35" s="61">
        <v>2994</v>
      </c>
      <c r="Y35" s="61">
        <v>4177</v>
      </c>
      <c r="Z35" s="84">
        <v>4939</v>
      </c>
      <c r="AA35" s="84">
        <v>5602</v>
      </c>
      <c r="AB35" s="84">
        <v>6720</v>
      </c>
      <c r="AC35" s="61">
        <f>7053718515/1000000</f>
        <v>7053.7185149999996</v>
      </c>
      <c r="AD35" s="61">
        <v>7740</v>
      </c>
      <c r="AE35" s="61">
        <v>7482</v>
      </c>
      <c r="AF35" s="88">
        <v>8664</v>
      </c>
      <c r="AG35" s="84">
        <v>11758</v>
      </c>
      <c r="AH35" s="61">
        <v>11835</v>
      </c>
      <c r="AI35" s="84">
        <v>12581</v>
      </c>
      <c r="AJ35" s="84">
        <v>12086</v>
      </c>
      <c r="AK35" s="84"/>
      <c r="AL35" s="84"/>
    </row>
    <row r="36" spans="2:38" x14ac:dyDescent="0.2">
      <c r="B36" s="60"/>
      <c r="C36" s="78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2"/>
      <c r="S36" s="62"/>
      <c r="T36" s="61"/>
      <c r="U36" s="61"/>
      <c r="V36" s="60"/>
      <c r="W36" s="61"/>
      <c r="X36" s="60"/>
      <c r="Y36" s="60"/>
      <c r="Z36" s="81"/>
      <c r="AA36" s="81"/>
      <c r="AB36" s="81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">
      <c r="B37" s="60"/>
      <c r="C37" s="78" t="s">
        <v>161</v>
      </c>
      <c r="D37" s="61"/>
      <c r="E37" s="61"/>
      <c r="F37" s="61"/>
      <c r="G37" s="61"/>
      <c r="H37" s="61">
        <v>75</v>
      </c>
      <c r="I37" s="61">
        <v>326</v>
      </c>
      <c r="J37" s="61">
        <v>289</v>
      </c>
      <c r="K37" s="61">
        <v>380</v>
      </c>
      <c r="L37" s="61">
        <v>-95</v>
      </c>
      <c r="M37" s="61">
        <v>200</v>
      </c>
      <c r="N37" s="61">
        <v>250</v>
      </c>
      <c r="O37" s="61">
        <v>142</v>
      </c>
      <c r="P37" s="124">
        <v>165</v>
      </c>
      <c r="Q37" s="61">
        <v>326</v>
      </c>
      <c r="R37" s="62">
        <v>370</v>
      </c>
      <c r="S37" s="62">
        <v>189</v>
      </c>
      <c r="T37" s="61">
        <v>237</v>
      </c>
      <c r="U37" s="61">
        <v>243</v>
      </c>
      <c r="V37" s="61">
        <v>438</v>
      </c>
      <c r="W37" s="61">
        <v>583</v>
      </c>
      <c r="X37" s="61">
        <v>594</v>
      </c>
      <c r="Y37" s="61">
        <v>581</v>
      </c>
      <c r="Z37" s="84">
        <v>253</v>
      </c>
      <c r="AA37" s="84">
        <v>494</v>
      </c>
      <c r="AB37" s="84">
        <v>934</v>
      </c>
      <c r="AC37" s="61">
        <f>1298814235/1000000</f>
        <v>1298.8142350000001</v>
      </c>
      <c r="AD37" s="61">
        <v>1890</v>
      </c>
      <c r="AE37" s="61">
        <v>949</v>
      </c>
      <c r="AF37" s="88">
        <v>1297</v>
      </c>
      <c r="AG37" s="84">
        <v>1003</v>
      </c>
      <c r="AH37" s="61">
        <v>2055</v>
      </c>
      <c r="AI37" s="84">
        <v>734</v>
      </c>
      <c r="AJ37" s="84">
        <v>1349</v>
      </c>
      <c r="AK37" s="84"/>
      <c r="AL37" s="84"/>
    </row>
    <row r="38" spans="2:38" x14ac:dyDescent="0.2">
      <c r="B38" s="60"/>
      <c r="C38" s="78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S38" s="62"/>
      <c r="T38" s="61"/>
      <c r="U38" s="61"/>
      <c r="V38" s="60"/>
      <c r="W38" s="61"/>
      <c r="X38" s="60"/>
      <c r="Y38" s="60"/>
      <c r="Z38" s="81"/>
      <c r="AA38" s="81"/>
      <c r="AB38" s="81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">
      <c r="B39" s="60"/>
      <c r="C39" s="78" t="s">
        <v>42</v>
      </c>
      <c r="D39" s="61"/>
      <c r="E39" s="61"/>
      <c r="F39" s="61"/>
      <c r="G39" s="61"/>
      <c r="H39" s="61">
        <v>2601</v>
      </c>
      <c r="I39" s="61">
        <v>2493</v>
      </c>
      <c r="J39" s="61">
        <v>3830</v>
      </c>
      <c r="K39" s="61">
        <v>4481</v>
      </c>
      <c r="L39" s="61">
        <v>4182</v>
      </c>
      <c r="M39" s="61">
        <v>4222</v>
      </c>
      <c r="N39" s="61">
        <v>4280</v>
      </c>
      <c r="O39" s="61">
        <v>4200</v>
      </c>
      <c r="P39" s="61">
        <v>4400</v>
      </c>
      <c r="Q39" s="61">
        <v>5610</v>
      </c>
      <c r="R39" s="62">
        <v>6315</v>
      </c>
      <c r="S39" s="62">
        <v>5327</v>
      </c>
      <c r="T39" s="61">
        <v>8375</v>
      </c>
      <c r="U39" s="61">
        <v>11089</v>
      </c>
      <c r="V39" s="61">
        <v>12050</v>
      </c>
      <c r="W39" s="61">
        <v>14836</v>
      </c>
      <c r="X39" s="61">
        <v>14993</v>
      </c>
      <c r="Y39" s="61">
        <v>17733</v>
      </c>
      <c r="Z39" s="84">
        <v>19247</v>
      </c>
      <c r="AA39" s="84">
        <v>22282</v>
      </c>
      <c r="AB39" s="84">
        <v>26677</v>
      </c>
      <c r="AC39" s="61">
        <f>29586363897/1000000</f>
        <v>29586.363896999999</v>
      </c>
      <c r="AD39" s="61">
        <v>36911</v>
      </c>
      <c r="AE39" s="61">
        <v>44708</v>
      </c>
      <c r="AF39" s="88">
        <v>57983</v>
      </c>
      <c r="AG39" s="84">
        <v>68505</v>
      </c>
      <c r="AH39" s="61">
        <v>88050</v>
      </c>
      <c r="AI39" s="84">
        <v>69192</v>
      </c>
      <c r="AJ39" s="84">
        <v>51477</v>
      </c>
      <c r="AK39" s="84"/>
      <c r="AL39" s="84"/>
    </row>
    <row r="40" spans="2:38" hidden="1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61"/>
      <c r="V40" s="60"/>
      <c r="W40" s="61"/>
      <c r="X40" s="60"/>
      <c r="Y40" s="60"/>
      <c r="Z40" s="81"/>
      <c r="AA40" s="81"/>
      <c r="AB40" s="81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hidden="1" x14ac:dyDescent="0.2">
      <c r="B41" s="60"/>
      <c r="C41" s="79" t="s">
        <v>39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61"/>
      <c r="V41" s="60"/>
      <c r="W41" s="61"/>
      <c r="X41" s="60"/>
      <c r="Y41" s="60"/>
      <c r="Z41" s="81"/>
      <c r="AA41" s="81"/>
      <c r="AB41" s="81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hidden="1" x14ac:dyDescent="0.2">
      <c r="B42" s="60"/>
      <c r="C42" s="60" t="s">
        <v>35</v>
      </c>
      <c r="D42" s="61" t="e">
        <f>D31+D18+#REF!</f>
        <v>#REF!</v>
      </c>
      <c r="E42" s="61" t="e">
        <f>E31+E18+#REF!</f>
        <v>#REF!</v>
      </c>
      <c r="F42" s="61" t="e">
        <f>F31+F18+#REF!</f>
        <v>#REF!</v>
      </c>
      <c r="G42" s="61" t="e">
        <f>G31+G18+#REF!</f>
        <v>#REF!</v>
      </c>
      <c r="H42" s="61" t="e">
        <f>H31+H18+#REF!</f>
        <v>#REF!</v>
      </c>
      <c r="I42" s="61" t="e">
        <f>I31+I18+#REF!</f>
        <v>#REF!</v>
      </c>
      <c r="J42" s="61" t="e">
        <f>J31+J18+#REF!</f>
        <v>#REF!</v>
      </c>
      <c r="K42" s="61" t="e">
        <f>K31+K18+#REF!</f>
        <v>#REF!</v>
      </c>
      <c r="L42" s="61" t="e">
        <f>L31+L18+#REF!</f>
        <v>#REF!</v>
      </c>
      <c r="M42" s="61" t="e">
        <f>M31+M18+#REF!</f>
        <v>#REF!</v>
      </c>
      <c r="N42" s="61" t="e">
        <f>N31+N18+#REF!</f>
        <v>#REF!</v>
      </c>
      <c r="O42" s="61" t="e">
        <f>O31+O18+#REF!</f>
        <v>#REF!</v>
      </c>
      <c r="P42" s="61" t="e">
        <f>P31+P18+#REF!</f>
        <v>#REF!</v>
      </c>
      <c r="Q42" s="61" t="e">
        <f>Q31+Q18+#REF!</f>
        <v>#REF!</v>
      </c>
      <c r="R42" s="61" t="e">
        <f>R31+R18+#REF!</f>
        <v>#REF!</v>
      </c>
      <c r="S42" s="61">
        <v>76</v>
      </c>
      <c r="T42" s="61">
        <v>72</v>
      </c>
      <c r="U42" s="61">
        <v>62</v>
      </c>
      <c r="V42" s="61">
        <v>47</v>
      </c>
      <c r="W42" s="61">
        <v>61</v>
      </c>
      <c r="X42" s="61">
        <v>59</v>
      </c>
      <c r="Y42" s="61">
        <v>104</v>
      </c>
      <c r="Z42" s="81"/>
      <c r="AA42" s="81"/>
      <c r="AB42" s="81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hidden="1" x14ac:dyDescent="0.2">
      <c r="B43" s="60"/>
      <c r="C43" s="60" t="s">
        <v>36</v>
      </c>
      <c r="D43" s="61">
        <f t="shared" ref="D43:Q43" si="7">D32+D19+D15</f>
        <v>276</v>
      </c>
      <c r="E43" s="61">
        <f t="shared" si="7"/>
        <v>348</v>
      </c>
      <c r="F43" s="61">
        <f t="shared" si="7"/>
        <v>373</v>
      </c>
      <c r="G43" s="61">
        <f t="shared" si="7"/>
        <v>385</v>
      </c>
      <c r="H43" s="61">
        <f t="shared" si="7"/>
        <v>415</v>
      </c>
      <c r="I43" s="61">
        <f t="shared" si="7"/>
        <v>459</v>
      </c>
      <c r="J43" s="61">
        <f t="shared" si="7"/>
        <v>478</v>
      </c>
      <c r="K43" s="61">
        <f t="shared" si="7"/>
        <v>497</v>
      </c>
      <c r="L43" s="61">
        <f t="shared" si="7"/>
        <v>499</v>
      </c>
      <c r="M43" s="61">
        <f t="shared" si="7"/>
        <v>495</v>
      </c>
      <c r="N43" s="61">
        <f t="shared" si="7"/>
        <v>503</v>
      </c>
      <c r="O43" s="61">
        <f t="shared" si="7"/>
        <v>520</v>
      </c>
      <c r="P43" s="61">
        <f t="shared" si="7"/>
        <v>511</v>
      </c>
      <c r="Q43" s="61">
        <f t="shared" si="7"/>
        <v>522</v>
      </c>
      <c r="R43" s="61">
        <v>498</v>
      </c>
      <c r="S43" s="61">
        <f t="shared" ref="S43:Y43" si="8">S32+S19+S15</f>
        <v>580</v>
      </c>
      <c r="T43" s="61">
        <f t="shared" si="8"/>
        <v>616</v>
      </c>
      <c r="U43" s="61">
        <f t="shared" si="8"/>
        <v>652</v>
      </c>
      <c r="V43" s="61">
        <f t="shared" si="8"/>
        <v>669</v>
      </c>
      <c r="W43" s="61">
        <f t="shared" si="8"/>
        <v>667</v>
      </c>
      <c r="X43" s="61">
        <f t="shared" si="8"/>
        <v>692</v>
      </c>
      <c r="Y43" s="61">
        <f t="shared" si="8"/>
        <v>742</v>
      </c>
      <c r="Z43" s="81"/>
      <c r="AA43" s="81"/>
      <c r="AB43" s="81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">
      <c r="B44" s="5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4"/>
      <c r="X44" s="67"/>
      <c r="Y44" s="67"/>
      <c r="Z44" s="96"/>
      <c r="AA44" s="96"/>
      <c r="AB44" s="96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2:38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63"/>
      <c r="X45" s="57"/>
      <c r="Y45" s="57"/>
      <c r="Z45" s="97"/>
      <c r="AA45" s="97"/>
      <c r="AB45" s="97"/>
      <c r="AC45" s="57"/>
      <c r="AD45" s="57"/>
      <c r="AE45" s="57"/>
      <c r="AF45" s="57"/>
      <c r="AG45" s="57"/>
      <c r="AH45" s="57"/>
      <c r="AI45" s="57"/>
      <c r="AJ45" s="60"/>
      <c r="AK45" s="60"/>
      <c r="AL45" s="60"/>
    </row>
    <row r="46" spans="2:38" x14ac:dyDescent="0.2">
      <c r="B46" s="60"/>
      <c r="C46" s="65" t="s">
        <v>70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ht="14.25" x14ac:dyDescent="0.2">
      <c r="B47" s="80"/>
      <c r="C47" s="60" t="s">
        <v>118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ht="14.25" x14ac:dyDescent="0.2">
      <c r="B48" s="80"/>
      <c r="C48" s="60" t="s">
        <v>120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ht="14.25" x14ac:dyDescent="0.2">
      <c r="B49" s="80"/>
      <c r="C49" s="60" t="s">
        <v>121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ht="14.25" x14ac:dyDescent="0.2">
      <c r="B50" s="80"/>
      <c r="C50" s="60" t="s">
        <v>173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ht="14.25" x14ac:dyDescent="0.2">
      <c r="B51" s="80"/>
      <c r="C51" s="60" t="s">
        <v>122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ht="14.25" x14ac:dyDescent="0.2">
      <c r="B52" s="80"/>
      <c r="C52" s="60" t="s">
        <v>184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ht="14.25" x14ac:dyDescent="0.2">
      <c r="B53" s="80"/>
      <c r="C53" s="60" t="s">
        <v>124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ht="14.25" x14ac:dyDescent="0.2">
      <c r="B54" s="80"/>
      <c r="C54" s="81" t="s">
        <v>126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ht="14.25" x14ac:dyDescent="0.2">
      <c r="B55" s="80"/>
      <c r="C55" s="60" t="s">
        <v>127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ht="14.25" x14ac:dyDescent="0.2">
      <c r="B56" s="82"/>
      <c r="C56" s="81" t="s">
        <v>163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ht="14.25" x14ac:dyDescent="0.2">
      <c r="B57" s="82"/>
      <c r="C57" s="106" t="s">
        <v>75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ht="14.25" x14ac:dyDescent="0.2">
      <c r="B58" s="82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ht="14.25" x14ac:dyDescent="0.2">
      <c r="B59" s="82"/>
      <c r="C59" s="66" t="s">
        <v>105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ht="14.25" x14ac:dyDescent="0.2">
      <c r="B60" s="2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ht="14.25" x14ac:dyDescent="0.2">
      <c r="B61" s="2"/>
    </row>
    <row r="62" spans="2:38" ht="14.25" x14ac:dyDescent="0.2">
      <c r="B62" s="2"/>
    </row>
    <row r="63" spans="2:38" ht="14.25" x14ac:dyDescent="0.2">
      <c r="B63" s="2"/>
    </row>
    <row r="64" spans="2:38" ht="14.25" x14ac:dyDescent="0.2">
      <c r="B64" s="2"/>
    </row>
    <row r="65" spans="2:74" ht="14.25" x14ac:dyDescent="0.2">
      <c r="B65" s="2"/>
    </row>
    <row r="66" spans="2:74" ht="14.25" x14ac:dyDescent="0.2">
      <c r="B66" s="2"/>
    </row>
    <row r="67" spans="2:74" ht="14.25" x14ac:dyDescent="0.2">
      <c r="B67" s="2"/>
    </row>
    <row r="68" spans="2:74" ht="14.25" x14ac:dyDescent="0.2">
      <c r="B68" s="2"/>
    </row>
    <row r="69" spans="2:74" ht="14.25" x14ac:dyDescent="0.2">
      <c r="B69" s="2"/>
    </row>
    <row r="70" spans="2:74" ht="14.25" x14ac:dyDescent="0.2">
      <c r="B70" s="2"/>
    </row>
    <row r="71" spans="2:74" ht="14.25" x14ac:dyDescent="0.2">
      <c r="B71" s="2"/>
    </row>
    <row r="72" spans="2:7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2:74" s="22" customFormat="1" ht="9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2:74" x14ac:dyDescent="0.2">
      <c r="B74" s="239">
        <f>'.09'!B81:L81+1</f>
        <v>1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4"/>
    </row>
    <row r="76" spans="2:74" x14ac:dyDescent="0.2">
      <c r="U76" s="11">
        <v>1998</v>
      </c>
      <c r="V76" s="11">
        <v>1999</v>
      </c>
      <c r="W76" s="12">
        <v>2000</v>
      </c>
      <c r="X76" s="14">
        <v>2001</v>
      </c>
      <c r="Y76" s="14">
        <v>2002</v>
      </c>
      <c r="Z76" s="14">
        <v>2003</v>
      </c>
      <c r="AA76" s="14">
        <v>2004</v>
      </c>
      <c r="AB76" s="20">
        <v>2005</v>
      </c>
      <c r="AC76" s="20">
        <v>2006</v>
      </c>
      <c r="AD76" s="14">
        <v>2007</v>
      </c>
      <c r="AE76" s="14">
        <v>2008</v>
      </c>
      <c r="AF76" s="14"/>
      <c r="AG76" s="14"/>
      <c r="AH76" s="14">
        <v>2009</v>
      </c>
      <c r="AI76" s="38"/>
    </row>
    <row r="78" spans="2:74" x14ac:dyDescent="0.2">
      <c r="X78">
        <v>72</v>
      </c>
      <c r="Y78">
        <v>69</v>
      </c>
      <c r="Z78">
        <v>66</v>
      </c>
      <c r="AA78">
        <v>66</v>
      </c>
      <c r="AB78">
        <v>57</v>
      </c>
      <c r="AC78">
        <v>87</v>
      </c>
      <c r="AD78">
        <v>91</v>
      </c>
    </row>
    <row r="79" spans="2:74" x14ac:dyDescent="0.2">
      <c r="X79">
        <v>21</v>
      </c>
      <c r="Y79">
        <v>21</v>
      </c>
      <c r="Z79">
        <v>24</v>
      </c>
      <c r="AA79">
        <v>26</v>
      </c>
      <c r="AB79">
        <v>28</v>
      </c>
      <c r="AC79">
        <v>28</v>
      </c>
      <c r="AD79">
        <v>31</v>
      </c>
    </row>
    <row r="80" spans="2:74" x14ac:dyDescent="0.2">
      <c r="X80">
        <v>28</v>
      </c>
      <c r="Y80">
        <v>25</v>
      </c>
      <c r="Z80">
        <v>25</v>
      </c>
      <c r="AA80">
        <v>25</v>
      </c>
      <c r="AB80">
        <v>27</v>
      </c>
      <c r="AC80">
        <v>25</v>
      </c>
      <c r="AD80">
        <v>25</v>
      </c>
    </row>
    <row r="82" spans="3:37" x14ac:dyDescent="0.2">
      <c r="X82">
        <f t="shared" ref="X82:AD82" si="9">+X78+X79+X80</f>
        <v>121</v>
      </c>
      <c r="Y82">
        <f t="shared" si="9"/>
        <v>115</v>
      </c>
      <c r="Z82">
        <f t="shared" si="9"/>
        <v>115</v>
      </c>
      <c r="AA82">
        <f t="shared" si="9"/>
        <v>117</v>
      </c>
      <c r="AB82">
        <f t="shared" si="9"/>
        <v>112</v>
      </c>
      <c r="AC82">
        <f t="shared" si="9"/>
        <v>140</v>
      </c>
      <c r="AD82">
        <f t="shared" si="9"/>
        <v>147</v>
      </c>
    </row>
    <row r="85" spans="3:37" x14ac:dyDescent="0.2">
      <c r="C85" s="16" t="s">
        <v>49</v>
      </c>
    </row>
    <row r="86" spans="3:37" x14ac:dyDescent="0.2">
      <c r="C86" s="30" t="s">
        <v>50</v>
      </c>
      <c r="U86" s="36">
        <v>22.264516</v>
      </c>
      <c r="V86" s="36">
        <v>20.890875999999999</v>
      </c>
      <c r="W86" s="36">
        <v>30.736514</v>
      </c>
      <c r="X86" s="36">
        <v>32.146695000000001</v>
      </c>
      <c r="Y86" s="36">
        <v>58.698279999999997</v>
      </c>
      <c r="Z86" s="36">
        <v>45.934528999999998</v>
      </c>
      <c r="AA86" s="36">
        <v>42.539406999999997</v>
      </c>
      <c r="AB86" s="36">
        <v>75.492098999999996</v>
      </c>
      <c r="AC86" s="36">
        <v>103.817841</v>
      </c>
      <c r="AD86" s="6">
        <v>100.594174</v>
      </c>
      <c r="AE86" s="36"/>
      <c r="AF86" s="36"/>
      <c r="AG86" s="36"/>
      <c r="AK86" s="34"/>
    </row>
    <row r="87" spans="3:37" x14ac:dyDescent="0.2">
      <c r="C87" s="30" t="s">
        <v>51</v>
      </c>
      <c r="U87" s="36">
        <v>9.8000290000000003</v>
      </c>
      <c r="V87" s="36">
        <v>9.9968690000000002</v>
      </c>
      <c r="W87" s="36">
        <v>10.786045</v>
      </c>
      <c r="X87" s="36">
        <v>12.067042000000001</v>
      </c>
      <c r="Y87" s="36">
        <v>12.422836</v>
      </c>
      <c r="Z87" s="36">
        <v>13.570627999999999</v>
      </c>
      <c r="AA87" s="36">
        <v>11.730959</v>
      </c>
      <c r="AB87" s="36">
        <v>19.103974000000001</v>
      </c>
      <c r="AC87" s="36">
        <v>25.030587000000001</v>
      </c>
      <c r="AD87" s="6">
        <v>26.754111000000002</v>
      </c>
      <c r="AE87" s="36"/>
      <c r="AF87" s="36"/>
      <c r="AG87" s="36"/>
    </row>
    <row r="88" spans="3:37" x14ac:dyDescent="0.2">
      <c r="C88" s="33" t="s">
        <v>52</v>
      </c>
      <c r="U88" s="36">
        <v>2.2369349999999999</v>
      </c>
      <c r="V88" s="36">
        <v>6.3788929999999997</v>
      </c>
      <c r="W88" s="36">
        <v>9.3045069999999992</v>
      </c>
      <c r="X88" s="36">
        <v>10.630763999999999</v>
      </c>
      <c r="Y88" s="36">
        <v>2.5668989999999998</v>
      </c>
      <c r="Z88" s="36">
        <v>14.745376</v>
      </c>
      <c r="AA88" s="36">
        <v>17.006995</v>
      </c>
      <c r="AB88" s="36">
        <v>19.401230000000002</v>
      </c>
      <c r="AC88" s="36">
        <v>17.730369</v>
      </c>
      <c r="AD88" s="6">
        <v>0</v>
      </c>
      <c r="AE88" s="36"/>
      <c r="AF88" s="36"/>
      <c r="AG88" s="36"/>
    </row>
    <row r="89" spans="3:37" s="42" customFormat="1" x14ac:dyDescent="0.2">
      <c r="C89" s="43" t="s">
        <v>62</v>
      </c>
      <c r="U89" s="44"/>
      <c r="V89" s="44"/>
      <c r="W89" s="44"/>
      <c r="X89" s="44"/>
      <c r="Y89" s="44"/>
      <c r="Z89" s="44"/>
      <c r="AA89" s="44">
        <v>16.58154</v>
      </c>
      <c r="AB89" s="44">
        <v>19.049833</v>
      </c>
      <c r="AC89" s="44">
        <v>17.303073999999999</v>
      </c>
      <c r="AD89" s="45"/>
      <c r="AE89" s="44"/>
      <c r="AF89" s="44"/>
      <c r="AG89" s="44"/>
    </row>
    <row r="90" spans="3:37" s="42" customFormat="1" x14ac:dyDescent="0.2">
      <c r="C90" s="43" t="s">
        <v>63</v>
      </c>
      <c r="U90" s="44"/>
      <c r="V90" s="44"/>
      <c r="W90" s="44"/>
      <c r="X90" s="44"/>
      <c r="Y90" s="44"/>
      <c r="Z90" s="44"/>
      <c r="AA90" s="44">
        <v>0.42545500000000003</v>
      </c>
      <c r="AB90" s="44">
        <v>0.35139700000000001</v>
      </c>
      <c r="AC90" s="44">
        <v>0.42729499999999998</v>
      </c>
      <c r="AD90" s="45"/>
      <c r="AE90" s="44"/>
      <c r="AF90" s="44"/>
      <c r="AG90" s="44"/>
    </row>
    <row r="91" spans="3:37" x14ac:dyDescent="0.2">
      <c r="C91" s="30" t="s">
        <v>53</v>
      </c>
      <c r="U91" s="36">
        <v>0.42364200000000002</v>
      </c>
      <c r="V91" s="36">
        <v>1.982553</v>
      </c>
      <c r="W91" s="36">
        <v>1.45</v>
      </c>
      <c r="X91" s="36">
        <v>7.9124949999999998</v>
      </c>
      <c r="Y91" s="36">
        <v>3.0926659999999999</v>
      </c>
      <c r="Z91" s="36">
        <v>2.2573599999999998</v>
      </c>
      <c r="AA91" s="36">
        <v>5.4975990000000001</v>
      </c>
      <c r="AB91" s="36">
        <v>8.0664949999999997</v>
      </c>
      <c r="AC91" s="36">
        <v>12.766143</v>
      </c>
      <c r="AD91" s="6">
        <v>0</v>
      </c>
      <c r="AE91" s="36"/>
      <c r="AF91" s="36"/>
      <c r="AG91" s="36"/>
    </row>
    <row r="92" spans="3:37" x14ac:dyDescent="0.2">
      <c r="C92" s="30" t="s">
        <v>54</v>
      </c>
      <c r="U92" s="36">
        <v>18.811070999999998</v>
      </c>
      <c r="V92" s="36">
        <v>21.42934</v>
      </c>
      <c r="W92" s="36">
        <v>36.785989000000001</v>
      </c>
      <c r="X92" s="36">
        <v>35.185993000000003</v>
      </c>
      <c r="Y92" s="36">
        <v>38.771712999999998</v>
      </c>
      <c r="Z92" s="36">
        <v>44.113357000000001</v>
      </c>
      <c r="AA92" s="36">
        <v>50.288947999999998</v>
      </c>
      <c r="AB92" s="36">
        <v>69.974911000000006</v>
      </c>
      <c r="AC92" s="36">
        <v>88.930149</v>
      </c>
      <c r="AD92" s="6">
        <v>103.978094</v>
      </c>
      <c r="AE92" s="36"/>
      <c r="AF92" s="36"/>
      <c r="AG92" s="36"/>
    </row>
    <row r="93" spans="3:37" x14ac:dyDescent="0.2">
      <c r="C93" s="30" t="s">
        <v>55</v>
      </c>
      <c r="U93" s="36">
        <v>0.82903099999999996</v>
      </c>
      <c r="V93" s="36">
        <v>0.54801100000000003</v>
      </c>
      <c r="W93" s="36">
        <v>0.64813699999999996</v>
      </c>
      <c r="X93" s="36">
        <v>0.69389800000000001</v>
      </c>
      <c r="Y93" s="36">
        <v>0.82708000000000004</v>
      </c>
      <c r="Z93" s="36">
        <v>0.667184</v>
      </c>
      <c r="AA93" s="36">
        <v>0.65199399999999996</v>
      </c>
      <c r="AB93" s="36">
        <v>1.664194</v>
      </c>
      <c r="AC93" s="36">
        <v>1.039253</v>
      </c>
      <c r="AD93" s="6">
        <v>0</v>
      </c>
      <c r="AE93" s="36"/>
      <c r="AF93" s="36"/>
      <c r="AG93" s="36"/>
    </row>
    <row r="94" spans="3:37" x14ac:dyDescent="0.2">
      <c r="C94" s="30" t="s">
        <v>56</v>
      </c>
      <c r="U94" s="36">
        <v>10.906617000000001</v>
      </c>
      <c r="V94" s="36">
        <v>10.810983</v>
      </c>
      <c r="W94" s="36">
        <v>12.746472000000001</v>
      </c>
      <c r="X94" s="36">
        <v>13.756727</v>
      </c>
      <c r="Y94" s="36">
        <v>13.583102999999999</v>
      </c>
      <c r="Z94" s="36">
        <v>15.446306</v>
      </c>
      <c r="AA94" s="36">
        <v>13.889189999999999</v>
      </c>
      <c r="AB94" s="36">
        <v>24.441445999999999</v>
      </c>
      <c r="AC94" s="36">
        <v>19.727478000000001</v>
      </c>
      <c r="AD94" s="36">
        <v>33.030540999999999</v>
      </c>
      <c r="AE94" s="36"/>
      <c r="AF94" s="36"/>
      <c r="AG94" s="36"/>
    </row>
    <row r="95" spans="3:37" x14ac:dyDescent="0.2">
      <c r="C95" s="30" t="s">
        <v>57</v>
      </c>
      <c r="U95" s="36">
        <v>2.1671149999999999</v>
      </c>
      <c r="V95" s="36">
        <v>0.74795699999999998</v>
      </c>
      <c r="W95" s="36">
        <v>0.71980100000000002</v>
      </c>
      <c r="X95" s="36">
        <v>0.41479700000000003</v>
      </c>
      <c r="Y95" s="36">
        <v>10.087603</v>
      </c>
      <c r="Z95" s="36">
        <v>1.346455</v>
      </c>
      <c r="AA95" s="36">
        <v>6.2147790000000001</v>
      </c>
      <c r="AB95" s="36">
        <v>1.4097</v>
      </c>
      <c r="AC95" s="36">
        <v>6.0839869999999996</v>
      </c>
      <c r="AD95" s="6">
        <v>0</v>
      </c>
      <c r="AE95" s="36"/>
      <c r="AF95" s="36"/>
      <c r="AG95" s="36"/>
    </row>
    <row r="96" spans="3:37" x14ac:dyDescent="0.2">
      <c r="C96" s="30" t="s">
        <v>16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36">
        <v>38.368062999999999</v>
      </c>
      <c r="AE96" s="6"/>
      <c r="AF96" s="6"/>
      <c r="AG96" s="6"/>
    </row>
    <row r="97" spans="3:33" x14ac:dyDescent="0.2">
      <c r="C97" s="16" t="s">
        <v>58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37">
        <f>SUM(U86:U88,U91:U96)</f>
        <v>67.438956000000005</v>
      </c>
      <c r="V97" s="37">
        <f t="shared" ref="V97:AC97" si="10">SUM(V86:V88,V91:V96)</f>
        <v>72.785482000000016</v>
      </c>
      <c r="W97" s="37">
        <f t="shared" si="10"/>
        <v>103.17746500000001</v>
      </c>
      <c r="X97" s="37">
        <f t="shared" si="10"/>
        <v>112.80841100000001</v>
      </c>
      <c r="Y97" s="37">
        <f t="shared" si="10"/>
        <v>140.05017999999998</v>
      </c>
      <c r="Z97" s="37">
        <f t="shared" si="10"/>
        <v>138.08119500000001</v>
      </c>
      <c r="AA97" s="37">
        <f t="shared" si="10"/>
        <v>147.81987100000001</v>
      </c>
      <c r="AB97" s="37">
        <f t="shared" si="10"/>
        <v>219.55404899999996</v>
      </c>
      <c r="AC97" s="37">
        <f t="shared" si="10"/>
        <v>275.12580700000001</v>
      </c>
      <c r="AD97" s="37">
        <f>SUM(AD86:AD88,AD91:AD96)</f>
        <v>302.72498300000001</v>
      </c>
      <c r="AE97" s="37"/>
      <c r="AF97" s="37"/>
      <c r="AG97" s="37"/>
    </row>
    <row r="98" spans="3:33" x14ac:dyDescent="0.2">
      <c r="AA98" s="6">
        <f>AA23-AA94-AA88-AA92</f>
        <v>-10.792216000000003</v>
      </c>
    </row>
    <row r="100" spans="3:33" x14ac:dyDescent="0.2">
      <c r="U100" s="35">
        <f>SUM(U94,U92,U95)</f>
        <v>31.884802999999998</v>
      </c>
      <c r="V100" s="35">
        <f>SUM(V94,V92,V95)</f>
        <v>32.988280000000003</v>
      </c>
      <c r="W100" s="35">
        <f>SUM(W94,W92,W95)</f>
        <v>50.252261999999995</v>
      </c>
      <c r="X100" s="35">
        <f t="shared" ref="X100:AC100" si="11">SUM(X94,X92,X95)</f>
        <v>49.357517000000001</v>
      </c>
      <c r="Y100" s="35">
        <f t="shared" si="11"/>
        <v>62.442419000000001</v>
      </c>
      <c r="Z100" s="35">
        <f t="shared" si="11"/>
        <v>60.906117999999999</v>
      </c>
      <c r="AA100" s="35">
        <f t="shared" si="11"/>
        <v>70.392916999999983</v>
      </c>
      <c r="AB100" s="35">
        <f t="shared" si="11"/>
        <v>95.826057000000006</v>
      </c>
      <c r="AC100" s="35">
        <f t="shared" si="11"/>
        <v>114.741614</v>
      </c>
      <c r="AD100" s="35">
        <f>SUM(AD94,AD92,AD95)</f>
        <v>137.008635</v>
      </c>
      <c r="AE100" s="35"/>
      <c r="AF100" s="35"/>
      <c r="AG100" s="35"/>
    </row>
    <row r="102" spans="3:33" x14ac:dyDescent="0.2">
      <c r="Y102" s="35">
        <f>Y100-Y95+Y88</f>
        <v>54.921714999999999</v>
      </c>
    </row>
  </sheetData>
  <mergeCells count="3">
    <mergeCell ref="B74:AH74"/>
    <mergeCell ref="Y4:AH4"/>
    <mergeCell ref="C8:AH8"/>
  </mergeCells>
  <phoneticPr fontId="7" type="noConversion"/>
  <printOptions horizontalCentered="1"/>
  <pageMargins left="1" right="1" top="1" bottom="1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76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38100</xdr:rowOff>
              </from>
              <to>
                <xdr:col>1</xdr:col>
                <xdr:colOff>133350</xdr:colOff>
                <xdr:row>0</xdr:row>
                <xdr:rowOff>133350</xdr:rowOff>
              </to>
            </anchor>
          </objectPr>
        </oleObject>
      </mc:Choice>
      <mc:Fallback>
        <oleObject progId="MSPhotoEd.3" shapeId="276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4:AD60"/>
  <sheetViews>
    <sheetView zoomScaleNormal="100" zoomScaleSheetLayoutView="100" workbookViewId="0">
      <pane xSplit="3" ySplit="11" topLeftCell="U12" activePane="bottomRight" state="frozen"/>
      <selection pane="topRight" activeCell="D1" sqref="D1"/>
      <selection pane="bottomLeft" activeCell="A12" sqref="A12"/>
      <selection pane="bottomRight" activeCell="C6" sqref="C6"/>
    </sheetView>
  </sheetViews>
  <sheetFormatPr defaultRowHeight="12.75" x14ac:dyDescent="0.2"/>
  <cols>
    <col min="1" max="1" width="4.42578125" style="17" customWidth="1"/>
    <col min="2" max="2" width="7" style="17" bestFit="1" customWidth="1"/>
    <col min="3" max="3" width="36" style="17" customWidth="1"/>
    <col min="4" max="4" width="7.85546875" style="17" customWidth="1"/>
    <col min="5" max="5" width="7" style="17" customWidth="1"/>
    <col min="6" max="6" width="6.85546875" style="17" customWidth="1"/>
    <col min="7" max="7" width="6.7109375" style="17" customWidth="1"/>
    <col min="8" max="8" width="7.5703125" style="17" customWidth="1"/>
    <col min="9" max="9" width="7.85546875" style="17" customWidth="1"/>
    <col min="10" max="10" width="7.7109375" style="17" customWidth="1"/>
    <col min="11" max="11" width="8" style="17" customWidth="1"/>
    <col min="12" max="12" width="7.42578125" style="17" customWidth="1"/>
    <col min="13" max="13" width="8" style="17" customWidth="1"/>
    <col min="14" max="14" width="7.5703125" style="17" customWidth="1"/>
    <col min="15" max="21" width="13.28515625" style="17" customWidth="1"/>
    <col min="22" max="22" width="11.5703125" style="17" customWidth="1"/>
    <col min="23" max="28" width="9.140625" style="17"/>
    <col min="29" max="29" width="11" style="17" customWidth="1"/>
    <col min="30" max="16384" width="9.140625" style="17"/>
  </cols>
  <sheetData>
    <row r="4" spans="2:25" ht="15" x14ac:dyDescent="0.25"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5" ht="9" customHeight="1" x14ac:dyDescent="0.2"/>
    <row r="8" spans="2:25" ht="25.5" customHeight="1" x14ac:dyDescent="0.25">
      <c r="B8" s="291" t="s">
        <v>249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2:25" ht="18.75" customHeight="1" x14ac:dyDescent="0.25">
      <c r="B9" s="291" t="s">
        <v>250</v>
      </c>
      <c r="D9" s="51"/>
      <c r="E9" s="51"/>
      <c r="F9" s="51"/>
      <c r="G9" s="51"/>
      <c r="H9" s="51"/>
      <c r="I9" s="51"/>
    </row>
    <row r="10" spans="2:25" ht="12.75" customHeight="1" x14ac:dyDescent="0.25">
      <c r="B10" s="290"/>
      <c r="C10" s="357"/>
      <c r="D10" s="51"/>
      <c r="E10" s="51"/>
      <c r="G10" s="51"/>
      <c r="H10" s="51"/>
      <c r="I10" s="51"/>
      <c r="P10" s="358"/>
      <c r="Q10" s="358"/>
      <c r="R10" s="358"/>
      <c r="S10" s="359"/>
      <c r="T10" s="359"/>
      <c r="U10" s="303"/>
      <c r="V10" s="25"/>
    </row>
    <row r="11" spans="2:25" ht="15.75" x14ac:dyDescent="0.25">
      <c r="B11" s="290"/>
      <c r="C11" s="360"/>
      <c r="D11" s="360">
        <v>1994</v>
      </c>
      <c r="E11" s="360">
        <f>D11+1</f>
        <v>1995</v>
      </c>
      <c r="F11" s="360">
        <f>E11+1</f>
        <v>1996</v>
      </c>
      <c r="G11" s="361">
        <f>F11+1</f>
        <v>1997</v>
      </c>
      <c r="H11" s="361">
        <f>G11+1</f>
        <v>1998</v>
      </c>
      <c r="I11" s="361">
        <f>H11+1</f>
        <v>1999</v>
      </c>
      <c r="J11" s="360">
        <v>2000</v>
      </c>
      <c r="K11" s="20">
        <v>2001</v>
      </c>
      <c r="L11" s="20">
        <v>2002</v>
      </c>
      <c r="M11" s="20">
        <v>2003</v>
      </c>
      <c r="N11" s="20">
        <v>2004</v>
      </c>
      <c r="O11" s="20">
        <v>2005</v>
      </c>
      <c r="P11" s="20">
        <v>2006</v>
      </c>
      <c r="Q11" s="20">
        <v>2008</v>
      </c>
      <c r="R11" s="20">
        <v>2009</v>
      </c>
      <c r="S11" s="362">
        <v>2010</v>
      </c>
      <c r="T11" s="363">
        <v>2011</v>
      </c>
      <c r="U11" s="20">
        <v>2012</v>
      </c>
      <c r="V11" s="20">
        <v>2013</v>
      </c>
      <c r="W11" s="20">
        <v>2014</v>
      </c>
      <c r="X11" s="20">
        <v>2015</v>
      </c>
      <c r="Y11" s="20">
        <v>2016</v>
      </c>
    </row>
    <row r="12" spans="2:25" ht="15.75" x14ac:dyDescent="0.25">
      <c r="B12" s="290"/>
      <c r="C12" s="145"/>
      <c r="D12" s="145"/>
      <c r="E12" s="145"/>
      <c r="F12" s="145"/>
      <c r="G12" s="364"/>
      <c r="H12" s="364"/>
      <c r="I12" s="364"/>
      <c r="J12" s="145"/>
      <c r="K12" s="47"/>
      <c r="L12" s="47"/>
      <c r="M12" s="47"/>
      <c r="N12" s="47"/>
      <c r="O12" s="47"/>
      <c r="P12" s="47"/>
      <c r="Q12" s="47"/>
      <c r="R12" s="47"/>
      <c r="S12" s="47"/>
      <c r="T12" s="56"/>
      <c r="U12" s="47"/>
      <c r="V12" s="47"/>
      <c r="W12" s="47"/>
      <c r="X12" s="47"/>
      <c r="Y12" s="47"/>
    </row>
    <row r="13" spans="2:25" x14ac:dyDescent="0.2">
      <c r="C13" s="256" t="s">
        <v>40</v>
      </c>
    </row>
    <row r="14" spans="2:25" x14ac:dyDescent="0.2">
      <c r="C14" s="209" t="s">
        <v>164</v>
      </c>
      <c r="D14" s="315">
        <v>411</v>
      </c>
      <c r="E14" s="315">
        <v>469</v>
      </c>
      <c r="F14" s="315">
        <v>557</v>
      </c>
      <c r="G14" s="315">
        <v>592</v>
      </c>
      <c r="H14" s="315">
        <v>607</v>
      </c>
      <c r="I14" s="315">
        <v>617</v>
      </c>
      <c r="J14" s="315">
        <v>701</v>
      </c>
      <c r="K14" s="315">
        <v>659</v>
      </c>
      <c r="L14" s="315">
        <v>641</v>
      </c>
      <c r="M14" s="315">
        <v>592</v>
      </c>
      <c r="N14" s="315">
        <v>616</v>
      </c>
      <c r="O14" s="315">
        <v>598</v>
      </c>
      <c r="P14" s="315">
        <v>548</v>
      </c>
      <c r="Q14" s="315">
        <v>510</v>
      </c>
      <c r="R14" s="315">
        <v>448</v>
      </c>
      <c r="S14" s="315">
        <v>435</v>
      </c>
      <c r="T14" s="315">
        <v>424</v>
      </c>
      <c r="U14" s="315">
        <v>408</v>
      </c>
      <c r="V14" s="315">
        <v>398</v>
      </c>
      <c r="W14" s="315">
        <v>386</v>
      </c>
      <c r="X14" s="315">
        <v>380</v>
      </c>
      <c r="Y14" s="315">
        <v>363</v>
      </c>
    </row>
    <row r="15" spans="2:25" x14ac:dyDescent="0.2">
      <c r="C15" s="209" t="s">
        <v>165</v>
      </c>
      <c r="D15" s="315">
        <v>37</v>
      </c>
      <c r="E15" s="315">
        <v>39</v>
      </c>
      <c r="F15" s="315">
        <v>54</v>
      </c>
      <c r="G15" s="315">
        <v>56</v>
      </c>
      <c r="H15" s="315">
        <v>44</v>
      </c>
      <c r="I15" s="315">
        <v>44</v>
      </c>
      <c r="J15" s="315">
        <v>50</v>
      </c>
      <c r="K15" s="315">
        <v>52</v>
      </c>
      <c r="L15" s="315">
        <v>51</v>
      </c>
      <c r="M15" s="315">
        <v>48</v>
      </c>
      <c r="N15" s="315">
        <v>67</v>
      </c>
      <c r="O15" s="315">
        <v>79</v>
      </c>
      <c r="P15" s="315">
        <v>105</v>
      </c>
      <c r="Q15" s="315">
        <v>129</v>
      </c>
      <c r="R15" s="315">
        <v>131</v>
      </c>
      <c r="S15" s="315">
        <v>133</v>
      </c>
      <c r="T15" s="315">
        <v>120</v>
      </c>
      <c r="U15" s="315">
        <v>121</v>
      </c>
      <c r="V15" s="315">
        <v>111</v>
      </c>
      <c r="W15" s="315">
        <v>104</v>
      </c>
      <c r="X15" s="315">
        <v>101</v>
      </c>
      <c r="Y15" s="315">
        <v>90</v>
      </c>
    </row>
    <row r="16" spans="2:25" x14ac:dyDescent="0.2">
      <c r="C16" s="209" t="s">
        <v>166</v>
      </c>
      <c r="D16" s="315">
        <v>438</v>
      </c>
      <c r="E16" s="315">
        <v>551</v>
      </c>
      <c r="F16" s="315">
        <v>724</v>
      </c>
      <c r="G16" s="315">
        <v>1037</v>
      </c>
      <c r="H16" s="315">
        <v>1328</v>
      </c>
      <c r="I16" s="315">
        <v>1610</v>
      </c>
      <c r="J16" s="315">
        <v>2263</v>
      </c>
      <c r="K16" s="365">
        <v>2937</v>
      </c>
      <c r="L16" s="315">
        <v>3593</v>
      </c>
      <c r="M16" s="315">
        <v>4168</v>
      </c>
      <c r="N16" s="315">
        <v>5249</v>
      </c>
      <c r="O16" s="315">
        <v>6429</v>
      </c>
      <c r="P16" s="315">
        <v>7481</v>
      </c>
      <c r="Q16" s="315">
        <v>9231</v>
      </c>
      <c r="R16" s="315">
        <v>8944</v>
      </c>
      <c r="S16" s="315">
        <v>8870</v>
      </c>
      <c r="T16" s="315">
        <v>8714</v>
      </c>
      <c r="U16" s="315">
        <v>8421</v>
      </c>
      <c r="V16" s="315">
        <v>8235</v>
      </c>
      <c r="W16" s="315">
        <v>7835</v>
      </c>
      <c r="X16" s="315">
        <v>7654</v>
      </c>
      <c r="Y16" s="315">
        <v>7293</v>
      </c>
    </row>
    <row r="17" spans="1:30" x14ac:dyDescent="0.2">
      <c r="C17" s="209" t="s">
        <v>167</v>
      </c>
      <c r="D17" s="315"/>
      <c r="E17" s="315"/>
      <c r="F17" s="315"/>
      <c r="G17" s="315"/>
      <c r="H17" s="315"/>
      <c r="I17" s="315"/>
      <c r="J17" s="315"/>
      <c r="K17" s="365"/>
      <c r="L17" s="315"/>
      <c r="M17" s="315"/>
      <c r="N17" s="315"/>
      <c r="O17" s="315"/>
      <c r="P17" s="315"/>
      <c r="Q17" s="315"/>
      <c r="R17" s="315"/>
      <c r="S17" s="315"/>
      <c r="T17" s="315"/>
      <c r="U17" s="315">
        <v>1891</v>
      </c>
      <c r="V17" s="315">
        <v>2635</v>
      </c>
      <c r="W17" s="315">
        <v>2685</v>
      </c>
      <c r="X17" s="315">
        <v>2805</v>
      </c>
      <c r="Y17" s="315">
        <v>2840</v>
      </c>
    </row>
    <row r="18" spans="1:30" x14ac:dyDescent="0.2">
      <c r="C18" s="366" t="s">
        <v>22</v>
      </c>
      <c r="D18" s="367">
        <f t="shared" ref="D18:P18" si="0">SUM(D14:D16)</f>
        <v>886</v>
      </c>
      <c r="E18" s="367">
        <f t="shared" si="0"/>
        <v>1059</v>
      </c>
      <c r="F18" s="367">
        <f t="shared" si="0"/>
        <v>1335</v>
      </c>
      <c r="G18" s="367">
        <f t="shared" si="0"/>
        <v>1685</v>
      </c>
      <c r="H18" s="367">
        <f t="shared" si="0"/>
        <v>1979</v>
      </c>
      <c r="I18" s="367">
        <f t="shared" si="0"/>
        <v>2271</v>
      </c>
      <c r="J18" s="367">
        <f t="shared" si="0"/>
        <v>3014</v>
      </c>
      <c r="K18" s="367">
        <f t="shared" si="0"/>
        <v>3648</v>
      </c>
      <c r="L18" s="367">
        <f t="shared" si="0"/>
        <v>4285</v>
      </c>
      <c r="M18" s="367">
        <f t="shared" si="0"/>
        <v>4808</v>
      </c>
      <c r="N18" s="367">
        <f t="shared" si="0"/>
        <v>5932</v>
      </c>
      <c r="O18" s="367">
        <f t="shared" si="0"/>
        <v>7106</v>
      </c>
      <c r="P18" s="367">
        <f t="shared" si="0"/>
        <v>8134</v>
      </c>
      <c r="Q18" s="367">
        <f t="shared" ref="Q18:V18" si="1">SUM(Q14:Q17)</f>
        <v>9870</v>
      </c>
      <c r="R18" s="367">
        <f t="shared" si="1"/>
        <v>9523</v>
      </c>
      <c r="S18" s="367">
        <f t="shared" si="1"/>
        <v>9438</v>
      </c>
      <c r="T18" s="367">
        <f t="shared" si="1"/>
        <v>9258</v>
      </c>
      <c r="U18" s="367">
        <f t="shared" si="1"/>
        <v>10841</v>
      </c>
      <c r="V18" s="367">
        <f t="shared" si="1"/>
        <v>11379</v>
      </c>
      <c r="W18" s="367">
        <f>SUM(W14:W17)</f>
        <v>11010</v>
      </c>
      <c r="X18" s="367">
        <f>SUM(X14:X17)</f>
        <v>10940</v>
      </c>
      <c r="Y18" s="367">
        <f>SUM(Y14:Y17)</f>
        <v>10586</v>
      </c>
    </row>
    <row r="19" spans="1:30" x14ac:dyDescent="0.2">
      <c r="D19" s="315"/>
      <c r="E19" s="315"/>
      <c r="F19" s="315"/>
      <c r="G19" s="315"/>
      <c r="H19" s="315"/>
      <c r="I19" s="315"/>
      <c r="J19" s="315"/>
      <c r="K19" s="368"/>
      <c r="L19" s="368"/>
    </row>
    <row r="20" spans="1:30" x14ac:dyDescent="0.2">
      <c r="C20" s="256" t="s">
        <v>41</v>
      </c>
      <c r="D20" s="315"/>
      <c r="E20" s="315"/>
      <c r="F20" s="315"/>
      <c r="G20" s="315"/>
      <c r="H20" s="315"/>
      <c r="I20" s="315"/>
      <c r="J20" s="315"/>
      <c r="K20" s="368"/>
      <c r="L20" s="368"/>
    </row>
    <row r="21" spans="1:30" x14ac:dyDescent="0.2">
      <c r="C21" s="209" t="s">
        <v>169</v>
      </c>
      <c r="D21" s="315">
        <v>7</v>
      </c>
      <c r="E21" s="315">
        <v>16</v>
      </c>
      <c r="F21" s="315">
        <v>20</v>
      </c>
      <c r="G21" s="315">
        <v>19</v>
      </c>
      <c r="H21" s="315">
        <v>20</v>
      </c>
      <c r="I21" s="315">
        <v>20</v>
      </c>
      <c r="J21" s="315">
        <v>19</v>
      </c>
      <c r="K21" s="315">
        <v>16</v>
      </c>
      <c r="L21" s="315">
        <v>13</v>
      </c>
      <c r="M21" s="315">
        <v>10</v>
      </c>
      <c r="N21" s="315">
        <v>7</v>
      </c>
      <c r="O21" s="315">
        <v>7</v>
      </c>
      <c r="P21" s="315">
        <v>5</v>
      </c>
      <c r="Q21" s="315">
        <v>4</v>
      </c>
      <c r="R21" s="315">
        <v>2</v>
      </c>
      <c r="S21" s="315">
        <v>2</v>
      </c>
      <c r="T21" s="315">
        <v>2</v>
      </c>
      <c r="U21" s="315">
        <v>2</v>
      </c>
      <c r="V21" s="315">
        <v>2</v>
      </c>
      <c r="W21" s="369">
        <v>2</v>
      </c>
      <c r="X21" s="369">
        <v>2</v>
      </c>
      <c r="Y21" s="369">
        <v>1</v>
      </c>
      <c r="AB21" s="52"/>
      <c r="AC21" s="52"/>
      <c r="AD21" s="52"/>
    </row>
    <row r="22" spans="1:30" x14ac:dyDescent="0.2">
      <c r="C22" s="209" t="s">
        <v>170</v>
      </c>
      <c r="D22" s="315">
        <v>46</v>
      </c>
      <c r="E22" s="315">
        <v>56</v>
      </c>
      <c r="F22" s="315">
        <v>64</v>
      </c>
      <c r="G22" s="315">
        <v>69</v>
      </c>
      <c r="H22" s="315">
        <v>72</v>
      </c>
      <c r="I22" s="315">
        <v>73</v>
      </c>
      <c r="J22" s="315">
        <v>77</v>
      </c>
      <c r="K22" s="315">
        <v>83</v>
      </c>
      <c r="L22" s="315">
        <v>85</v>
      </c>
      <c r="M22" s="315">
        <v>82</v>
      </c>
      <c r="N22" s="315">
        <v>83</v>
      </c>
      <c r="O22" s="315">
        <v>87</v>
      </c>
      <c r="P22" s="315">
        <v>91</v>
      </c>
      <c r="Q22" s="315">
        <v>102</v>
      </c>
      <c r="R22" s="315">
        <v>97</v>
      </c>
      <c r="S22" s="315">
        <v>94</v>
      </c>
      <c r="T22" s="315">
        <v>92</v>
      </c>
      <c r="U22" s="315">
        <v>90</v>
      </c>
      <c r="V22" s="315">
        <v>88</v>
      </c>
      <c r="W22" s="369">
        <v>84</v>
      </c>
      <c r="X22" s="369">
        <v>82</v>
      </c>
      <c r="Y22" s="369">
        <v>84</v>
      </c>
      <c r="AC22" s="53"/>
    </row>
    <row r="23" spans="1:30" x14ac:dyDescent="0.2">
      <c r="C23" s="209" t="s">
        <v>171</v>
      </c>
      <c r="D23" s="315">
        <v>15</v>
      </c>
      <c r="E23" s="315">
        <v>30</v>
      </c>
      <c r="F23" s="315">
        <v>40</v>
      </c>
      <c r="G23" s="315">
        <v>51</v>
      </c>
      <c r="H23" s="315">
        <v>69</v>
      </c>
      <c r="I23" s="315">
        <v>82</v>
      </c>
      <c r="J23" s="315">
        <v>106</v>
      </c>
      <c r="K23" s="315">
        <v>118</v>
      </c>
      <c r="L23" s="315">
        <v>132</v>
      </c>
      <c r="M23" s="315">
        <v>103</v>
      </c>
      <c r="N23" s="315">
        <v>83</v>
      </c>
      <c r="O23" s="315">
        <v>61</v>
      </c>
      <c r="P23" s="315">
        <v>57</v>
      </c>
      <c r="Q23" s="315">
        <v>49</v>
      </c>
      <c r="R23" s="315">
        <v>42</v>
      </c>
      <c r="S23" s="315">
        <v>38</v>
      </c>
      <c r="T23" s="315">
        <v>35</v>
      </c>
      <c r="U23" s="315">
        <v>32</v>
      </c>
      <c r="V23" s="315">
        <v>31</v>
      </c>
      <c r="W23" s="369">
        <v>29</v>
      </c>
      <c r="X23" s="369">
        <v>24</v>
      </c>
      <c r="Y23" s="369">
        <v>21</v>
      </c>
      <c r="AC23" s="53"/>
    </row>
    <row r="24" spans="1:30" x14ac:dyDescent="0.2">
      <c r="C24" s="256" t="s">
        <v>168</v>
      </c>
      <c r="D24" s="367">
        <f>SUM(D21:D23)</f>
        <v>68</v>
      </c>
      <c r="E24" s="367">
        <f t="shared" ref="E24:L24" si="2">SUM(E21:E23)</f>
        <v>102</v>
      </c>
      <c r="F24" s="367">
        <f t="shared" si="2"/>
        <v>124</v>
      </c>
      <c r="G24" s="367">
        <f t="shared" si="2"/>
        <v>139</v>
      </c>
      <c r="H24" s="367">
        <f t="shared" si="2"/>
        <v>161</v>
      </c>
      <c r="I24" s="367">
        <f t="shared" si="2"/>
        <v>175</v>
      </c>
      <c r="J24" s="367">
        <f t="shared" si="2"/>
        <v>202</v>
      </c>
      <c r="K24" s="367">
        <f t="shared" si="2"/>
        <v>217</v>
      </c>
      <c r="L24" s="367">
        <f t="shared" si="2"/>
        <v>230</v>
      </c>
      <c r="M24" s="370">
        <f t="shared" ref="M24:U24" si="3">SUM(M21:M23)</f>
        <v>195</v>
      </c>
      <c r="N24" s="370">
        <f t="shared" si="3"/>
        <v>173</v>
      </c>
      <c r="O24" s="370">
        <f t="shared" si="3"/>
        <v>155</v>
      </c>
      <c r="P24" s="370">
        <f t="shared" si="3"/>
        <v>153</v>
      </c>
      <c r="Q24" s="370">
        <f t="shared" si="3"/>
        <v>155</v>
      </c>
      <c r="R24" s="370">
        <f t="shared" si="3"/>
        <v>141</v>
      </c>
      <c r="S24" s="370">
        <f t="shared" si="3"/>
        <v>134</v>
      </c>
      <c r="T24" s="370">
        <f t="shared" si="3"/>
        <v>129</v>
      </c>
      <c r="U24" s="370">
        <f t="shared" si="3"/>
        <v>124</v>
      </c>
      <c r="V24" s="370">
        <v>121</v>
      </c>
      <c r="W24" s="370">
        <f>SUM(W21:W23)</f>
        <v>115</v>
      </c>
      <c r="X24" s="370">
        <f>SUM(X21:X23)</f>
        <v>108</v>
      </c>
      <c r="Y24" s="370">
        <f>SUM(Y21:Y23)</f>
        <v>106</v>
      </c>
      <c r="AC24" s="53"/>
    </row>
    <row r="25" spans="1:30" x14ac:dyDescent="0.2">
      <c r="C25" s="303"/>
      <c r="D25" s="303"/>
      <c r="E25" s="303"/>
      <c r="F25" s="303"/>
      <c r="G25" s="303"/>
      <c r="H25" s="303"/>
      <c r="I25" s="335"/>
      <c r="J25" s="335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AC25" s="53"/>
    </row>
    <row r="26" spans="1:30" x14ac:dyDescent="0.2">
      <c r="C26" s="25"/>
      <c r="D26" s="25"/>
      <c r="E26" s="25"/>
      <c r="F26" s="25"/>
      <c r="G26" s="25"/>
      <c r="H26" s="25"/>
      <c r="I26" s="147"/>
      <c r="J26" s="14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AC26" s="53"/>
    </row>
    <row r="27" spans="1:30" x14ac:dyDescent="0.2">
      <c r="C27" s="256" t="s">
        <v>70</v>
      </c>
      <c r="AC27" s="53"/>
    </row>
    <row r="28" spans="1:30" ht="53.25" customHeight="1" x14ac:dyDescent="0.2">
      <c r="A28" s="371" t="s">
        <v>179</v>
      </c>
      <c r="B28" s="371"/>
      <c r="C28" s="371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AC28" s="53"/>
    </row>
    <row r="29" spans="1:30" x14ac:dyDescent="0.2"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AC29" s="53"/>
    </row>
    <row r="30" spans="1:30" x14ac:dyDescent="0.2">
      <c r="B30" s="305" t="s">
        <v>105</v>
      </c>
      <c r="AC30" s="53"/>
    </row>
    <row r="31" spans="1:30" x14ac:dyDescent="0.2">
      <c r="AC31" s="53"/>
    </row>
    <row r="32" spans="1:30" x14ac:dyDescent="0.2">
      <c r="AC32" s="53"/>
    </row>
    <row r="33" spans="29:29" x14ac:dyDescent="0.2">
      <c r="AC33" s="53"/>
    </row>
    <row r="34" spans="29:29" x14ac:dyDescent="0.2">
      <c r="AC34" s="18"/>
    </row>
    <row r="35" spans="29:29" x14ac:dyDescent="0.2">
      <c r="AC35" s="18"/>
    </row>
    <row r="36" spans="29:29" x14ac:dyDescent="0.2">
      <c r="AC36" s="49"/>
    </row>
    <row r="37" spans="29:29" x14ac:dyDescent="0.2">
      <c r="AC37" s="49"/>
    </row>
    <row r="38" spans="29:29" x14ac:dyDescent="0.2">
      <c r="AC38" s="49"/>
    </row>
    <row r="39" spans="29:29" x14ac:dyDescent="0.2">
      <c r="AC39" s="49"/>
    </row>
    <row r="57" spans="2:22" x14ac:dyDescent="0.2">
      <c r="C57" s="54"/>
      <c r="D57" s="54"/>
      <c r="E57" s="54"/>
      <c r="F57" s="54"/>
      <c r="G57" s="54"/>
      <c r="H57" s="54"/>
      <c r="I57" s="54"/>
      <c r="J57" s="54"/>
      <c r="K57" s="54"/>
      <c r="L57" s="51"/>
    </row>
    <row r="58" spans="2:22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2:22" ht="9" customHeight="1" x14ac:dyDescent="0.2"/>
    <row r="60" spans="2:22" x14ac:dyDescent="0.2">
      <c r="B60" s="307">
        <f>'.10 delete'!B74+1</f>
        <v>2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8"/>
    </row>
  </sheetData>
  <mergeCells count="2">
    <mergeCell ref="B60:U60"/>
    <mergeCell ref="A28:C28"/>
  </mergeCells>
  <phoneticPr fontId="7" type="noConversion"/>
  <pageMargins left="0.48" right="0.75" top="1" bottom="1" header="0.5" footer="0.5"/>
  <pageSetup scale="63" orientation="portrait" r:id="rId1"/>
  <headerFooter alignWithMargins="0"/>
  <colBreaks count="1" manualBreakCount="1">
    <brk id="13" max="59" man="1"/>
  </colBreaks>
  <drawing r:id="rId2"/>
  <legacyDrawing r:id="rId3"/>
  <oleObjects>
    <mc:AlternateContent xmlns:mc="http://schemas.openxmlformats.org/markup-compatibility/2006">
      <mc:Choice Requires="x14">
        <oleObject progId="MSPhotoEd.3" shapeId="286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238125</xdr:colOff>
                <xdr:row>3</xdr:row>
                <xdr:rowOff>171450</xdr:rowOff>
              </to>
            </anchor>
          </objectPr>
        </oleObject>
      </mc:Choice>
      <mc:Fallback>
        <oleObject progId="MSPhotoEd.3" shapeId="28673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AD41"/>
  <sheetViews>
    <sheetView zoomScaleNormal="100" zoomScaleSheetLayoutView="100" workbookViewId="0">
      <selection activeCell="D6" sqref="D6"/>
    </sheetView>
  </sheetViews>
  <sheetFormatPr defaultColWidth="9.140625" defaultRowHeight="12.75" x14ac:dyDescent="0.2"/>
  <cols>
    <col min="1" max="2" width="1.7109375" style="17" customWidth="1"/>
    <col min="3" max="3" width="8.5703125" style="17" customWidth="1"/>
    <col min="4" max="4" width="25.85546875" style="17" customWidth="1"/>
    <col min="5" max="11" width="10.7109375" style="17" customWidth="1"/>
    <col min="12" max="12" width="8.5703125" style="17" customWidth="1"/>
    <col min="13" max="18" width="9.140625" style="17"/>
    <col min="19" max="19" width="11" style="17" customWidth="1"/>
    <col min="20" max="16384" width="9.140625" style="17"/>
  </cols>
  <sheetData>
    <row r="4" spans="3:30" ht="15" x14ac:dyDescent="0.25">
      <c r="E4" s="136"/>
      <c r="F4" s="136"/>
      <c r="G4" s="136"/>
      <c r="H4" s="136"/>
      <c r="I4" s="136"/>
      <c r="J4" s="136"/>
      <c r="K4" s="136"/>
      <c r="L4" s="136"/>
    </row>
    <row r="5" spans="3:30" ht="9" customHeight="1" x14ac:dyDescent="0.2"/>
    <row r="6" spans="3:30" ht="15.75" x14ac:dyDescent="0.25"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8" spans="3:30" ht="15.75" x14ac:dyDescent="0.25">
      <c r="C8" s="356"/>
      <c r="D8" s="245" t="s">
        <v>251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</row>
    <row r="9" spans="3:30" ht="12.75" customHeight="1" x14ac:dyDescent="0.25">
      <c r="C9" s="290"/>
      <c r="D9" s="373"/>
      <c r="E9" s="31"/>
      <c r="F9" s="31"/>
      <c r="G9" s="31"/>
      <c r="H9" s="31"/>
      <c r="I9" s="31"/>
      <c r="J9" s="31"/>
      <c r="K9" s="31"/>
      <c r="L9" s="31"/>
    </row>
    <row r="10" spans="3:30" ht="12.75" customHeight="1" x14ac:dyDescent="0.25">
      <c r="C10" s="290"/>
      <c r="D10" s="373"/>
      <c r="E10" s="358"/>
      <c r="F10" s="358"/>
      <c r="G10" s="358"/>
      <c r="H10" s="359"/>
      <c r="I10" s="359"/>
      <c r="J10" s="359"/>
      <c r="K10" s="374"/>
      <c r="L10" s="374"/>
    </row>
    <row r="11" spans="3:30" ht="15.75" x14ac:dyDescent="0.25">
      <c r="C11" s="290"/>
      <c r="D11" s="252" t="s">
        <v>87</v>
      </c>
      <c r="E11" s="20">
        <v>2006</v>
      </c>
      <c r="F11" s="20">
        <v>2008</v>
      </c>
      <c r="G11" s="20">
        <v>2009</v>
      </c>
      <c r="H11" s="362">
        <v>2010</v>
      </c>
      <c r="I11" s="362">
        <v>2011</v>
      </c>
      <c r="J11" s="362">
        <v>2012</v>
      </c>
      <c r="K11" s="20">
        <v>2013</v>
      </c>
      <c r="L11" s="20">
        <v>2014</v>
      </c>
      <c r="M11" s="20">
        <v>2015</v>
      </c>
      <c r="N11" s="20">
        <v>2016</v>
      </c>
    </row>
    <row r="12" spans="3:30" ht="12.75" customHeight="1" x14ac:dyDescent="0.25">
      <c r="C12" s="290"/>
      <c r="D12" s="190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3:30" ht="12.75" customHeight="1" x14ac:dyDescent="0.25">
      <c r="C13" s="290"/>
      <c r="D13" s="56" t="s">
        <v>22</v>
      </c>
      <c r="E13" s="375">
        <f t="shared" ref="E13:K13" si="0">SUM(E15:E20)</f>
        <v>1225</v>
      </c>
      <c r="F13" s="375">
        <f t="shared" si="0"/>
        <v>1579</v>
      </c>
      <c r="G13" s="375">
        <f t="shared" si="0"/>
        <v>1312</v>
      </c>
      <c r="H13" s="375">
        <f t="shared" si="0"/>
        <v>1113</v>
      </c>
      <c r="I13" s="375">
        <f t="shared" si="0"/>
        <v>1156</v>
      </c>
      <c r="J13" s="375">
        <f t="shared" si="0"/>
        <v>1157</v>
      </c>
      <c r="K13" s="375">
        <f t="shared" si="0"/>
        <v>1116</v>
      </c>
      <c r="L13" s="375">
        <f>SUM(L15:L20)</f>
        <v>1066</v>
      </c>
      <c r="M13" s="375">
        <f>SUM(M15:M21)</f>
        <v>1048</v>
      </c>
      <c r="N13" s="375">
        <f>SUM(N15:N21)</f>
        <v>1022</v>
      </c>
    </row>
    <row r="14" spans="3:30" ht="12.75" customHeight="1" x14ac:dyDescent="0.25">
      <c r="C14" s="290"/>
      <c r="D14" s="146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3:30" ht="12.75" customHeight="1" x14ac:dyDescent="0.2">
      <c r="D15" s="31" t="s">
        <v>84</v>
      </c>
      <c r="E15" s="31">
        <v>909</v>
      </c>
      <c r="F15" s="31">
        <v>793</v>
      </c>
      <c r="G15" s="31">
        <v>546</v>
      </c>
      <c r="H15" s="168">
        <v>322</v>
      </c>
      <c r="I15" s="130">
        <v>347</v>
      </c>
      <c r="J15" s="130">
        <v>343</v>
      </c>
      <c r="K15" s="130">
        <v>320</v>
      </c>
      <c r="L15" s="130">
        <v>279</v>
      </c>
      <c r="M15" s="130">
        <v>246</v>
      </c>
      <c r="N15" s="130">
        <v>260</v>
      </c>
    </row>
    <row r="16" spans="3:30" ht="12.75" customHeight="1" x14ac:dyDescent="0.2">
      <c r="D16" s="31" t="s">
        <v>85</v>
      </c>
      <c r="E16" s="31">
        <v>302</v>
      </c>
      <c r="F16" s="31">
        <v>721</v>
      </c>
      <c r="G16" s="31">
        <v>693</v>
      </c>
      <c r="H16" s="168">
        <v>712</v>
      </c>
      <c r="I16" s="130">
        <v>702</v>
      </c>
      <c r="J16" s="130">
        <v>600</v>
      </c>
      <c r="K16" s="130">
        <v>587</v>
      </c>
      <c r="L16" s="130">
        <v>562</v>
      </c>
      <c r="M16" s="130">
        <v>564</v>
      </c>
      <c r="N16" s="130">
        <v>489</v>
      </c>
    </row>
    <row r="17" spans="3:30" ht="12.75" customHeight="1" x14ac:dyDescent="0.2">
      <c r="D17" s="209" t="s">
        <v>181</v>
      </c>
      <c r="E17" s="31">
        <v>9</v>
      </c>
      <c r="F17" s="31">
        <v>60</v>
      </c>
      <c r="G17" s="31">
        <v>68</v>
      </c>
      <c r="H17" s="168">
        <v>74</v>
      </c>
      <c r="I17" s="130">
        <v>101</v>
      </c>
      <c r="J17" s="130">
        <v>117</v>
      </c>
      <c r="K17" s="130">
        <v>121</v>
      </c>
      <c r="L17" s="130">
        <v>150</v>
      </c>
      <c r="M17" s="130">
        <v>186</v>
      </c>
      <c r="N17" s="130">
        <v>234</v>
      </c>
    </row>
    <row r="18" spans="3:30" ht="12.75" customHeight="1" x14ac:dyDescent="0.2">
      <c r="D18" s="17" t="s">
        <v>182</v>
      </c>
      <c r="E18" s="31"/>
      <c r="F18" s="31"/>
      <c r="G18" s="31"/>
      <c r="H18" s="376" t="s">
        <v>183</v>
      </c>
      <c r="I18" s="376" t="s">
        <v>183</v>
      </c>
      <c r="J18" s="130">
        <v>91</v>
      </c>
      <c r="K18" s="130">
        <v>82</v>
      </c>
      <c r="L18" s="130">
        <v>67</v>
      </c>
      <c r="M18" s="130">
        <v>43</v>
      </c>
      <c r="N18" s="130">
        <v>34</v>
      </c>
    </row>
    <row r="19" spans="3:30" ht="12.75" customHeight="1" x14ac:dyDescent="0.2">
      <c r="D19" s="31" t="s">
        <v>86</v>
      </c>
      <c r="E19" s="31">
        <v>4</v>
      </c>
      <c r="F19" s="31">
        <v>3</v>
      </c>
      <c r="G19" s="31">
        <v>2</v>
      </c>
      <c r="H19" s="168">
        <v>2</v>
      </c>
      <c r="I19" s="130">
        <v>2</v>
      </c>
      <c r="J19" s="130">
        <v>2</v>
      </c>
      <c r="K19" s="130">
        <v>2</v>
      </c>
      <c r="L19" s="130">
        <v>2</v>
      </c>
      <c r="M19" s="130">
        <v>1</v>
      </c>
      <c r="N19" s="130">
        <v>1</v>
      </c>
    </row>
    <row r="20" spans="3:30" ht="12.75" customHeight="1" x14ac:dyDescent="0.2">
      <c r="D20" s="130" t="s">
        <v>232</v>
      </c>
      <c r="E20" s="168">
        <v>1</v>
      </c>
      <c r="F20" s="168">
        <v>2</v>
      </c>
      <c r="G20" s="168">
        <v>3</v>
      </c>
      <c r="H20" s="168">
        <v>3</v>
      </c>
      <c r="I20" s="168">
        <v>4</v>
      </c>
      <c r="J20" s="168">
        <v>4</v>
      </c>
      <c r="K20" s="168">
        <v>4</v>
      </c>
      <c r="L20" s="168">
        <v>6</v>
      </c>
      <c r="M20" s="168">
        <v>6</v>
      </c>
      <c r="N20" s="168">
        <v>3</v>
      </c>
      <c r="R20" s="52"/>
      <c r="S20" s="52"/>
      <c r="T20" s="52"/>
    </row>
    <row r="21" spans="3:30" ht="12.75" customHeight="1" x14ac:dyDescent="0.2">
      <c r="D21" s="204" t="s">
        <v>231</v>
      </c>
      <c r="E21" s="250"/>
      <c r="F21" s="250"/>
      <c r="G21" s="250"/>
      <c r="H21" s="250"/>
      <c r="I21" s="250"/>
      <c r="J21" s="250"/>
      <c r="K21" s="250"/>
      <c r="L21" s="250"/>
      <c r="M21" s="250">
        <v>2</v>
      </c>
      <c r="N21" s="250">
        <v>1</v>
      </c>
      <c r="R21" s="52"/>
      <c r="S21" s="52"/>
      <c r="T21" s="52"/>
    </row>
    <row r="22" spans="3:30" ht="12.75" customHeight="1" x14ac:dyDescent="0.2">
      <c r="D22" s="178"/>
      <c r="S22" s="53"/>
    </row>
    <row r="23" spans="3:30" x14ac:dyDescent="0.2">
      <c r="S23" s="47"/>
      <c r="T23" s="47"/>
      <c r="U23" s="47"/>
      <c r="V23" s="47"/>
    </row>
    <row r="24" spans="3:30" x14ac:dyDescent="0.2">
      <c r="S24" s="50"/>
      <c r="T24" s="50"/>
      <c r="U24" s="50"/>
      <c r="V24" s="50"/>
      <c r="W24" s="50"/>
      <c r="X24" s="55"/>
      <c r="Y24" s="49"/>
      <c r="Z24" s="49"/>
      <c r="AA24" s="49"/>
      <c r="AB24" s="49"/>
      <c r="AC24" s="49"/>
      <c r="AD24" s="49"/>
    </row>
    <row r="25" spans="3:30" ht="15.75" x14ac:dyDescent="0.25">
      <c r="C25" s="377"/>
      <c r="D25" s="378" t="s">
        <v>252</v>
      </c>
      <c r="E25" s="378"/>
      <c r="F25" s="378"/>
      <c r="G25" s="378"/>
      <c r="H25" s="378"/>
      <c r="I25" s="378"/>
      <c r="J25" s="378"/>
      <c r="K25" s="378"/>
      <c r="L25" s="378"/>
      <c r="M25" s="378"/>
      <c r="N25" s="378"/>
    </row>
    <row r="26" spans="3:30" ht="15.75" x14ac:dyDescent="0.25">
      <c r="C26" s="377"/>
      <c r="D26" s="255"/>
      <c r="E26" s="255"/>
      <c r="F26" s="255"/>
      <c r="G26" s="255"/>
      <c r="H26" s="255"/>
      <c r="I26" s="255"/>
      <c r="J26" s="255"/>
      <c r="K26" s="255"/>
      <c r="L26" s="255"/>
    </row>
    <row r="27" spans="3:30" ht="15.75" x14ac:dyDescent="0.25">
      <c r="C27" s="377"/>
      <c r="D27" s="379"/>
      <c r="E27" s="379"/>
      <c r="F27" s="379"/>
      <c r="G27" s="379"/>
      <c r="H27" s="380"/>
      <c r="I27" s="380"/>
      <c r="L27" s="381"/>
      <c r="N27" s="381" t="s">
        <v>172</v>
      </c>
    </row>
    <row r="28" spans="3:30" x14ac:dyDescent="0.2">
      <c r="D28" s="252" t="s">
        <v>87</v>
      </c>
      <c r="E28" s="20">
        <v>2006</v>
      </c>
      <c r="F28" s="20">
        <v>2008</v>
      </c>
      <c r="G28" s="20">
        <v>2009</v>
      </c>
      <c r="H28" s="362">
        <v>2010</v>
      </c>
      <c r="I28" s="362">
        <v>2011</v>
      </c>
      <c r="J28" s="20">
        <v>2012</v>
      </c>
      <c r="K28" s="20">
        <v>2013</v>
      </c>
      <c r="L28" s="20">
        <v>2014</v>
      </c>
      <c r="M28" s="20">
        <v>2015</v>
      </c>
      <c r="N28" s="20">
        <v>2016</v>
      </c>
    </row>
    <row r="29" spans="3:30" x14ac:dyDescent="0.2">
      <c r="D29" s="190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3:30" x14ac:dyDescent="0.2">
      <c r="D30" s="31" t="s">
        <v>84</v>
      </c>
      <c r="E30" s="382">
        <v>81.044359244000006</v>
      </c>
      <c r="F30" s="383">
        <v>60.494533752000002</v>
      </c>
      <c r="G30" s="383">
        <v>53.695</v>
      </c>
      <c r="H30" s="383">
        <v>32.1</v>
      </c>
      <c r="I30" s="383">
        <v>23</v>
      </c>
      <c r="J30" s="383">
        <v>14.5</v>
      </c>
      <c r="K30" s="383">
        <v>11.3</v>
      </c>
      <c r="L30" s="383">
        <v>9.4</v>
      </c>
      <c r="M30" s="383">
        <v>10</v>
      </c>
      <c r="N30" s="383">
        <v>9.1</v>
      </c>
    </row>
    <row r="31" spans="3:30" x14ac:dyDescent="0.2">
      <c r="D31" s="31" t="s">
        <v>85</v>
      </c>
      <c r="E31" s="382">
        <v>19.818624378999999</v>
      </c>
      <c r="F31" s="383">
        <v>80.641473801000004</v>
      </c>
      <c r="G31" s="383">
        <v>79.382999999999996</v>
      </c>
      <c r="H31" s="383">
        <v>81.3</v>
      </c>
      <c r="I31" s="383">
        <v>80.400000000000006</v>
      </c>
      <c r="J31" s="383">
        <v>74</v>
      </c>
      <c r="K31" s="383">
        <v>78</v>
      </c>
      <c r="L31" s="383">
        <v>79.2</v>
      </c>
      <c r="M31" s="383">
        <v>83.9</v>
      </c>
      <c r="N31" s="383">
        <v>93.6</v>
      </c>
    </row>
    <row r="32" spans="3:30" x14ac:dyDescent="0.2">
      <c r="C32" s="25"/>
      <c r="D32" s="209" t="s">
        <v>181</v>
      </c>
      <c r="E32" s="382">
        <v>8.5667756369999992</v>
      </c>
      <c r="F32" s="383">
        <v>25.286185194000002</v>
      </c>
      <c r="G32" s="383">
        <v>29.184999999999999</v>
      </c>
      <c r="H32" s="383">
        <v>31.1</v>
      </c>
      <c r="I32" s="383">
        <v>36.9</v>
      </c>
      <c r="J32" s="383">
        <v>64.7</v>
      </c>
      <c r="K32" s="383">
        <v>68.599999999999994</v>
      </c>
      <c r="L32" s="383">
        <v>72.2</v>
      </c>
      <c r="M32" s="383">
        <v>95.3</v>
      </c>
      <c r="N32" s="383">
        <v>87.3</v>
      </c>
    </row>
    <row r="33" spans="3:14" x14ac:dyDescent="0.2">
      <c r="C33" s="25"/>
      <c r="D33" s="17" t="s">
        <v>182</v>
      </c>
      <c r="E33" s="382"/>
      <c r="F33" s="383"/>
      <c r="G33" s="383"/>
      <c r="H33" s="384" t="s">
        <v>183</v>
      </c>
      <c r="I33" s="384" t="s">
        <v>183</v>
      </c>
      <c r="J33" s="383">
        <v>9.8000000000000007</v>
      </c>
      <c r="K33" s="383">
        <v>11.5</v>
      </c>
      <c r="L33" s="383">
        <v>8.1</v>
      </c>
      <c r="M33" s="383">
        <v>5.9</v>
      </c>
      <c r="N33" s="383">
        <v>5</v>
      </c>
    </row>
    <row r="34" spans="3:14" x14ac:dyDescent="0.2">
      <c r="D34" s="168" t="s">
        <v>86</v>
      </c>
      <c r="E34" s="383">
        <v>1.903871766</v>
      </c>
      <c r="F34" s="383">
        <v>1.1051081</v>
      </c>
      <c r="G34" s="383">
        <v>0.57599999999999996</v>
      </c>
      <c r="H34" s="383">
        <v>0.9</v>
      </c>
      <c r="I34" s="383">
        <v>0.7</v>
      </c>
      <c r="J34" s="383">
        <v>0.8</v>
      </c>
      <c r="K34" s="383">
        <v>0.9</v>
      </c>
      <c r="L34" s="383">
        <v>0.1</v>
      </c>
      <c r="M34" s="383">
        <v>0.1</v>
      </c>
      <c r="N34" s="383">
        <v>0.1</v>
      </c>
    </row>
    <row r="35" spans="3:14" x14ac:dyDescent="0.2">
      <c r="D35" s="204" t="s">
        <v>232</v>
      </c>
      <c r="E35" s="385">
        <v>0.19259074000000001</v>
      </c>
      <c r="F35" s="385">
        <v>0.15911043999999999</v>
      </c>
      <c r="G35" s="385">
        <v>0.20799999999999999</v>
      </c>
      <c r="H35" s="385">
        <v>0.246</v>
      </c>
      <c r="I35" s="385">
        <v>2.8</v>
      </c>
      <c r="J35" s="385">
        <v>2.7</v>
      </c>
      <c r="K35" s="385">
        <v>2.2999999999999998</v>
      </c>
      <c r="L35" s="385">
        <v>0.3</v>
      </c>
      <c r="M35" s="385">
        <v>0.2</v>
      </c>
      <c r="N35" s="385">
        <v>0.2</v>
      </c>
    </row>
    <row r="37" spans="3:14" x14ac:dyDescent="0.2">
      <c r="D37" s="178" t="s">
        <v>107</v>
      </c>
    </row>
    <row r="39" spans="3:14" x14ac:dyDescent="0.2">
      <c r="C39" s="51"/>
      <c r="D39" s="51"/>
    </row>
    <row r="40" spans="3:14" ht="9" customHeight="1" x14ac:dyDescent="0.2"/>
    <row r="41" spans="3:14" x14ac:dyDescent="0.2">
      <c r="C41" s="308"/>
      <c r="D41" s="308"/>
      <c r="E41" s="308"/>
      <c r="F41" s="308"/>
      <c r="G41" s="308"/>
      <c r="H41" s="308"/>
      <c r="I41" s="308"/>
      <c r="J41" s="308"/>
      <c r="K41" s="308"/>
      <c r="L41" s="308"/>
    </row>
  </sheetData>
  <mergeCells count="2">
    <mergeCell ref="D8:N8"/>
    <mergeCell ref="D25:N25"/>
  </mergeCells>
  <phoneticPr fontId="7" type="noConversion"/>
  <pageMargins left="0.48" right="0.75" top="1" bottom="1" header="0.5" footer="0.5"/>
  <pageSetup scale="6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481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95250</xdr:colOff>
                <xdr:row>3</xdr:row>
                <xdr:rowOff>171450</xdr:rowOff>
              </to>
            </anchor>
          </objectPr>
        </oleObject>
      </mc:Choice>
      <mc:Fallback>
        <oleObject progId="MSPhotoEd.3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3"/>
  <sheetViews>
    <sheetView zoomScaleNormal="100" workbookViewId="0">
      <selection activeCell="K2" sqref="K2"/>
    </sheetView>
  </sheetViews>
  <sheetFormatPr defaultRowHeight="12.75" x14ac:dyDescent="0.2"/>
  <cols>
    <col min="1" max="3" width="9.140625" style="17"/>
    <col min="4" max="4" width="11.5703125" style="17" customWidth="1"/>
    <col min="5" max="5" width="12.140625" style="17" customWidth="1"/>
    <col min="6" max="6" width="12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3.140625" style="17" bestFit="1" customWidth="1"/>
    <col min="11" max="11" width="10.42578125" style="17" bestFit="1" customWidth="1"/>
    <col min="12" max="12" width="9.140625" style="17"/>
    <col min="13" max="13" width="10.42578125" style="17" bestFit="1" customWidth="1"/>
    <col min="14" max="16384" width="9.140625" style="17"/>
  </cols>
  <sheetData>
    <row r="2" spans="1:13" ht="15" x14ac:dyDescent="0.25">
      <c r="B2" s="25"/>
      <c r="C2" s="25"/>
      <c r="D2" s="218" t="s">
        <v>238</v>
      </c>
      <c r="E2" s="218"/>
      <c r="F2" s="218"/>
      <c r="G2" s="218"/>
      <c r="H2" s="218"/>
      <c r="I2" s="218"/>
      <c r="J2" s="218"/>
    </row>
    <row r="3" spans="1:13" x14ac:dyDescent="0.2">
      <c r="B3" s="25"/>
      <c r="C3" s="199"/>
      <c r="D3" s="221" t="s">
        <v>141</v>
      </c>
      <c r="E3" s="222"/>
      <c r="F3" s="222"/>
      <c r="G3" s="222"/>
      <c r="H3" s="222"/>
      <c r="I3" s="222"/>
      <c r="J3" s="223"/>
    </row>
    <row r="4" spans="1:13" x14ac:dyDescent="0.2">
      <c r="D4" s="228" t="s">
        <v>142</v>
      </c>
      <c r="E4" s="229"/>
      <c r="F4" s="227" t="s">
        <v>201</v>
      </c>
      <c r="G4" s="227"/>
      <c r="H4" s="227"/>
      <c r="I4" s="227"/>
      <c r="J4" s="224" t="s">
        <v>22</v>
      </c>
    </row>
    <row r="5" spans="1:13" ht="14.25" customHeight="1" x14ac:dyDescent="0.2">
      <c r="D5" s="230"/>
      <c r="E5" s="231"/>
      <c r="F5" s="227" t="s">
        <v>144</v>
      </c>
      <c r="G5" s="227"/>
      <c r="H5" s="227"/>
      <c r="I5" s="224" t="s">
        <v>16</v>
      </c>
      <c r="J5" s="225"/>
    </row>
    <row r="6" spans="1:13" ht="36.75" customHeight="1" x14ac:dyDescent="0.2">
      <c r="D6" s="200" t="s">
        <v>199</v>
      </c>
      <c r="E6" s="200" t="s">
        <v>200</v>
      </c>
      <c r="F6" s="200" t="s">
        <v>202</v>
      </c>
      <c r="G6" s="200" t="s">
        <v>203</v>
      </c>
      <c r="H6" s="200" t="s">
        <v>208</v>
      </c>
      <c r="I6" s="226"/>
      <c r="J6" s="226"/>
    </row>
    <row r="7" spans="1:13" x14ac:dyDescent="0.2">
      <c r="C7" s="201"/>
      <c r="D7" s="220" t="s">
        <v>209</v>
      </c>
      <c r="E7" s="220"/>
      <c r="F7" s="220"/>
      <c r="G7" s="220"/>
      <c r="H7" s="220"/>
      <c r="I7" s="220"/>
      <c r="J7" s="220"/>
    </row>
    <row r="8" spans="1:13" x14ac:dyDescent="0.2">
      <c r="A8" s="25"/>
      <c r="B8" s="219">
        <v>2006</v>
      </c>
      <c r="C8" s="130" t="s">
        <v>204</v>
      </c>
      <c r="D8" s="202">
        <v>86670.645000000004</v>
      </c>
      <c r="E8" s="49">
        <v>4024509.166666667</v>
      </c>
      <c r="F8" s="49">
        <v>59719.166666666672</v>
      </c>
      <c r="G8" s="49">
        <v>68057.5</v>
      </c>
      <c r="H8" s="49">
        <v>1674554.1666666667</v>
      </c>
      <c r="I8" s="49">
        <v>-547801.34300000034</v>
      </c>
      <c r="J8" s="49">
        <f>SUM(D8:I8)</f>
        <v>5365709.3020000001</v>
      </c>
      <c r="K8" s="18"/>
      <c r="L8" s="18"/>
      <c r="M8" s="18"/>
    </row>
    <row r="9" spans="1:13" x14ac:dyDescent="0.2">
      <c r="A9" s="25"/>
      <c r="B9" s="219"/>
      <c r="C9" s="130" t="s">
        <v>205</v>
      </c>
      <c r="D9" s="203">
        <v>88727.35500000001</v>
      </c>
      <c r="E9" s="49">
        <v>4392782.5</v>
      </c>
      <c r="F9" s="49">
        <v>56512.5</v>
      </c>
      <c r="G9" s="49">
        <v>72328.333333333343</v>
      </c>
      <c r="H9" s="49">
        <v>1715580.8333333335</v>
      </c>
      <c r="I9" s="49">
        <v>-580122.28433333337</v>
      </c>
      <c r="J9" s="49">
        <f t="shared" ref="J9:J51" si="0">SUM(D9:I9)</f>
        <v>5745809.2373333331</v>
      </c>
      <c r="K9" s="18"/>
      <c r="L9" s="18"/>
      <c r="M9" s="18"/>
    </row>
    <row r="10" spans="1:13" x14ac:dyDescent="0.2">
      <c r="A10" s="25"/>
      <c r="B10" s="219"/>
      <c r="C10" s="130" t="s">
        <v>206</v>
      </c>
      <c r="D10" s="203">
        <v>88591.119000000006</v>
      </c>
      <c r="E10" s="49">
        <v>3971727.5</v>
      </c>
      <c r="F10" s="49">
        <v>54845.833333333336</v>
      </c>
      <c r="G10" s="49">
        <v>69038.333333333343</v>
      </c>
      <c r="H10" s="49">
        <v>1808348.3333333335</v>
      </c>
      <c r="I10" s="49">
        <v>-256734.25766666653</v>
      </c>
      <c r="J10" s="49">
        <f t="shared" si="0"/>
        <v>5735816.8613333348</v>
      </c>
      <c r="K10" s="18"/>
      <c r="L10" s="18"/>
      <c r="M10" s="18"/>
    </row>
    <row r="11" spans="1:13" x14ac:dyDescent="0.2">
      <c r="A11" s="25"/>
      <c r="B11" s="219"/>
      <c r="C11" s="204" t="s">
        <v>207</v>
      </c>
      <c r="D11" s="205">
        <v>99227.611999999994</v>
      </c>
      <c r="E11" s="206">
        <v>4691723.333333334</v>
      </c>
      <c r="F11" s="206">
        <v>63507.5</v>
      </c>
      <c r="G11" s="206">
        <v>67273.333333333343</v>
      </c>
      <c r="H11" s="206">
        <v>1996531.6666666667</v>
      </c>
      <c r="I11" s="206">
        <v>-600782.15633333358</v>
      </c>
      <c r="J11" s="206">
        <f t="shared" si="0"/>
        <v>6317481.2889999999</v>
      </c>
      <c r="K11" s="18"/>
      <c r="L11" s="18"/>
      <c r="M11" s="18"/>
    </row>
    <row r="12" spans="1:13" x14ac:dyDescent="0.2">
      <c r="A12" s="25"/>
      <c r="B12" s="219">
        <v>2007</v>
      </c>
      <c r="C12" s="130" t="s">
        <v>204</v>
      </c>
      <c r="D12" s="203">
        <v>96340.832999999999</v>
      </c>
      <c r="E12" s="49">
        <v>5487165.833333334</v>
      </c>
      <c r="F12" s="49">
        <v>63025.833333333336</v>
      </c>
      <c r="G12" s="49">
        <v>79523.333333333343</v>
      </c>
      <c r="H12" s="49">
        <v>1919167.5</v>
      </c>
      <c r="I12" s="49">
        <v>-707202.98933333415</v>
      </c>
      <c r="J12" s="49">
        <f t="shared" si="0"/>
        <v>6938020.3436666653</v>
      </c>
      <c r="K12" s="18"/>
      <c r="L12" s="18"/>
      <c r="M12" s="18"/>
    </row>
    <row r="13" spans="1:13" x14ac:dyDescent="0.2">
      <c r="A13" s="25"/>
      <c r="B13" s="219"/>
      <c r="C13" s="130" t="s">
        <v>205</v>
      </c>
      <c r="D13" s="203">
        <v>100149.348</v>
      </c>
      <c r="E13" s="49">
        <v>5579821.666666667</v>
      </c>
      <c r="F13" s="49">
        <v>74015</v>
      </c>
      <c r="G13" s="49">
        <v>79910.833333333343</v>
      </c>
      <c r="H13" s="49">
        <v>1976854.1666666667</v>
      </c>
      <c r="I13" s="49">
        <v>-839611.08399999957</v>
      </c>
      <c r="J13" s="49">
        <f t="shared" si="0"/>
        <v>6971139.9306666674</v>
      </c>
      <c r="K13" s="18"/>
      <c r="L13" s="18"/>
      <c r="M13" s="18"/>
    </row>
    <row r="14" spans="1:13" x14ac:dyDescent="0.2">
      <c r="A14" s="25"/>
      <c r="B14" s="219"/>
      <c r="C14" s="130" t="s">
        <v>206</v>
      </c>
      <c r="D14" s="203">
        <v>101021.058</v>
      </c>
      <c r="E14" s="49">
        <v>3560583.3333333335</v>
      </c>
      <c r="F14" s="49">
        <v>97662.5</v>
      </c>
      <c r="G14" s="49">
        <v>56420</v>
      </c>
      <c r="H14" s="49">
        <v>2044321.6666666667</v>
      </c>
      <c r="I14" s="49">
        <v>-698186.97200000053</v>
      </c>
      <c r="J14" s="49">
        <f t="shared" si="0"/>
        <v>5161821.5859999992</v>
      </c>
      <c r="K14" s="18"/>
      <c r="L14" s="18"/>
      <c r="M14" s="18"/>
    </row>
    <row r="15" spans="1:13" x14ac:dyDescent="0.2">
      <c r="A15" s="25"/>
      <c r="B15" s="219"/>
      <c r="C15" s="204" t="s">
        <v>207</v>
      </c>
      <c r="D15" s="205">
        <v>106603.796</v>
      </c>
      <c r="E15" s="206">
        <v>3729686.666666667</v>
      </c>
      <c r="F15" s="206">
        <v>118238.33333333334</v>
      </c>
      <c r="G15" s="206">
        <v>71932.5</v>
      </c>
      <c r="H15" s="206">
        <v>2066850.8333333335</v>
      </c>
      <c r="I15" s="206">
        <v>-678604.64500000002</v>
      </c>
      <c r="J15" s="206">
        <f t="shared" si="0"/>
        <v>5414707.4843333345</v>
      </c>
      <c r="K15" s="18"/>
      <c r="L15" s="18"/>
      <c r="M15" s="18"/>
    </row>
    <row r="16" spans="1:13" x14ac:dyDescent="0.2">
      <c r="A16" s="25"/>
      <c r="B16" s="219">
        <v>2008</v>
      </c>
      <c r="C16" s="207" t="s">
        <v>204</v>
      </c>
      <c r="D16" s="202">
        <v>105087.64004999999</v>
      </c>
      <c r="E16" s="208">
        <v>3964058.3333333335</v>
      </c>
      <c r="F16" s="208">
        <v>116841.66666666667</v>
      </c>
      <c r="G16" s="208">
        <v>73586.666666666672</v>
      </c>
      <c r="H16" s="208">
        <v>2065420</v>
      </c>
      <c r="I16" s="208">
        <v>-762221.63071666693</v>
      </c>
      <c r="J16" s="208">
        <f t="shared" si="0"/>
        <v>5562772.676</v>
      </c>
      <c r="K16" s="18"/>
      <c r="L16" s="18"/>
      <c r="M16" s="18"/>
    </row>
    <row r="17" spans="1:13" x14ac:dyDescent="0.2">
      <c r="A17" s="25"/>
      <c r="B17" s="219"/>
      <c r="C17" s="130" t="s">
        <v>205</v>
      </c>
      <c r="D17" s="203">
        <v>96135.684860000008</v>
      </c>
      <c r="E17" s="198">
        <v>3180214.166666667</v>
      </c>
      <c r="F17" s="198">
        <v>206712.5</v>
      </c>
      <c r="G17" s="198">
        <v>68721.666666666672</v>
      </c>
      <c r="H17" s="198">
        <v>2133533.3333333335</v>
      </c>
      <c r="I17" s="198">
        <v>-687241.05685999931</v>
      </c>
      <c r="J17" s="198">
        <f t="shared" si="0"/>
        <v>4998076.2946666675</v>
      </c>
      <c r="K17" s="18"/>
      <c r="L17" s="18"/>
      <c r="M17" s="18"/>
    </row>
    <row r="18" spans="1:13" x14ac:dyDescent="0.2">
      <c r="A18" s="25"/>
      <c r="B18" s="219"/>
      <c r="C18" s="130" t="s">
        <v>206</v>
      </c>
      <c r="D18" s="203">
        <v>94802.677390000012</v>
      </c>
      <c r="E18" s="198">
        <v>2922439.166666667</v>
      </c>
      <c r="F18" s="198">
        <v>201800.83333333334</v>
      </c>
      <c r="G18" s="198">
        <v>68501.666666666672</v>
      </c>
      <c r="H18" s="198">
        <v>2242175</v>
      </c>
      <c r="I18" s="198">
        <v>-858336.25438999932</v>
      </c>
      <c r="J18" s="198">
        <f t="shared" si="0"/>
        <v>4671383.0896666674</v>
      </c>
      <c r="K18" s="18"/>
      <c r="L18" s="18"/>
      <c r="M18" s="18"/>
    </row>
    <row r="19" spans="1:13" x14ac:dyDescent="0.2">
      <c r="A19" s="25"/>
      <c r="B19" s="219"/>
      <c r="C19" s="204" t="s">
        <v>207</v>
      </c>
      <c r="D19" s="205">
        <v>101581.79726000001</v>
      </c>
      <c r="E19" s="206">
        <v>3477506.666666667</v>
      </c>
      <c r="F19" s="206">
        <v>271669.16666666669</v>
      </c>
      <c r="G19" s="206">
        <v>53970.833333333336</v>
      </c>
      <c r="H19" s="206">
        <v>2437492.5</v>
      </c>
      <c r="I19" s="206">
        <v>-774034.70396000042</v>
      </c>
      <c r="J19" s="206">
        <f t="shared" si="0"/>
        <v>5568186.2599666668</v>
      </c>
      <c r="K19" s="18"/>
      <c r="L19" s="18"/>
      <c r="M19" s="18"/>
    </row>
    <row r="20" spans="1:13" x14ac:dyDescent="0.2">
      <c r="A20" s="25"/>
      <c r="B20" s="219">
        <v>2009</v>
      </c>
      <c r="C20" s="207" t="s">
        <v>204</v>
      </c>
      <c r="D20" s="202">
        <v>102951.75452999996</v>
      </c>
      <c r="E20" s="208">
        <v>5734872.5</v>
      </c>
      <c r="F20" s="208">
        <v>267909.16666666669</v>
      </c>
      <c r="G20" s="208">
        <v>63519.166666666672</v>
      </c>
      <c r="H20" s="208">
        <v>2522249.166666667</v>
      </c>
      <c r="I20" s="208">
        <v>-786174.49186333455</v>
      </c>
      <c r="J20" s="208">
        <f t="shared" si="0"/>
        <v>7905327.2626666669</v>
      </c>
      <c r="K20" s="18"/>
      <c r="L20" s="18"/>
      <c r="M20" s="18"/>
    </row>
    <row r="21" spans="1:13" x14ac:dyDescent="0.2">
      <c r="A21" s="25"/>
      <c r="B21" s="219"/>
      <c r="C21" s="130" t="s">
        <v>205</v>
      </c>
      <c r="D21" s="203">
        <v>96486.005000000005</v>
      </c>
      <c r="E21" s="198">
        <v>3495581.666666667</v>
      </c>
      <c r="F21" s="198">
        <v>341632.5</v>
      </c>
      <c r="G21" s="198">
        <v>64640</v>
      </c>
      <c r="H21" s="198">
        <v>2596600</v>
      </c>
      <c r="I21" s="198">
        <v>-862075.69866666733</v>
      </c>
      <c r="J21" s="198">
        <f t="shared" si="0"/>
        <v>5732864.4729999993</v>
      </c>
      <c r="K21" s="18"/>
      <c r="L21" s="18"/>
      <c r="M21" s="18"/>
    </row>
    <row r="22" spans="1:13" x14ac:dyDescent="0.2">
      <c r="A22" s="25"/>
      <c r="B22" s="219"/>
      <c r="C22" s="130" t="s">
        <v>206</v>
      </c>
      <c r="D22" s="203">
        <v>93356.459000000003</v>
      </c>
      <c r="E22" s="198">
        <v>3210787.5</v>
      </c>
      <c r="F22" s="198">
        <v>332238.33333333337</v>
      </c>
      <c r="G22" s="198">
        <v>70081.666666666672</v>
      </c>
      <c r="H22" s="198">
        <v>2624880.8333333335</v>
      </c>
      <c r="I22" s="198">
        <v>-872955.81933333387</v>
      </c>
      <c r="J22" s="198">
        <f t="shared" si="0"/>
        <v>5458388.9729999993</v>
      </c>
      <c r="K22" s="18"/>
      <c r="L22" s="18"/>
      <c r="M22" s="18"/>
    </row>
    <row r="23" spans="1:13" x14ac:dyDescent="0.2">
      <c r="A23" s="25"/>
      <c r="B23" s="219"/>
      <c r="C23" s="204" t="s">
        <v>207</v>
      </c>
      <c r="D23" s="205">
        <v>100446</v>
      </c>
      <c r="E23" s="206">
        <v>3880685</v>
      </c>
      <c r="F23" s="206">
        <v>172138.33333333334</v>
      </c>
      <c r="G23" s="206">
        <v>66539.166666666672</v>
      </c>
      <c r="H23" s="206">
        <v>2598143.3333333335</v>
      </c>
      <c r="I23" s="206">
        <v>-868310.7333333334</v>
      </c>
      <c r="J23" s="206">
        <f t="shared" si="0"/>
        <v>5949641.1000000006</v>
      </c>
      <c r="K23" s="18"/>
      <c r="L23" s="18"/>
      <c r="M23" s="18"/>
    </row>
    <row r="24" spans="1:13" x14ac:dyDescent="0.2">
      <c r="A24" s="25"/>
      <c r="B24" s="219">
        <v>2010</v>
      </c>
      <c r="C24" s="207" t="s">
        <v>204</v>
      </c>
      <c r="D24" s="202">
        <v>97702.232999999993</v>
      </c>
      <c r="E24" s="208">
        <v>3895525</v>
      </c>
      <c r="F24" s="208">
        <v>172836.66666666669</v>
      </c>
      <c r="G24" s="208">
        <v>65620</v>
      </c>
      <c r="H24" s="208">
        <v>2622090</v>
      </c>
      <c r="I24" s="208">
        <v>-828994.47233333334</v>
      </c>
      <c r="J24" s="208">
        <f t="shared" si="0"/>
        <v>6024779.4273333335</v>
      </c>
      <c r="K24" s="18"/>
      <c r="L24" s="18"/>
      <c r="M24" s="18"/>
    </row>
    <row r="25" spans="1:13" x14ac:dyDescent="0.2">
      <c r="A25" s="25"/>
      <c r="B25" s="219"/>
      <c r="C25" s="130" t="s">
        <v>205</v>
      </c>
      <c r="D25" s="203">
        <v>82826</v>
      </c>
      <c r="E25" s="198">
        <v>3867654.166666667</v>
      </c>
      <c r="F25" s="198">
        <v>187903.33333333334</v>
      </c>
      <c r="G25" s="198">
        <v>64602.5</v>
      </c>
      <c r="H25" s="198">
        <v>2653330.8333333335</v>
      </c>
      <c r="I25" s="198">
        <v>-709976.54433333315</v>
      </c>
      <c r="J25" s="198">
        <f t="shared" si="0"/>
        <v>6146340.2890000008</v>
      </c>
      <c r="K25" s="18"/>
      <c r="L25" s="18"/>
      <c r="M25" s="18"/>
    </row>
    <row r="26" spans="1:13" x14ac:dyDescent="0.2">
      <c r="A26" s="25"/>
      <c r="B26" s="219"/>
      <c r="C26" s="130" t="s">
        <v>206</v>
      </c>
      <c r="D26" s="203">
        <v>83322.315000000002</v>
      </c>
      <c r="E26" s="198">
        <v>2957624.166666667</v>
      </c>
      <c r="F26" s="198">
        <v>180842.5</v>
      </c>
      <c r="G26" s="198">
        <v>63913.333333333336</v>
      </c>
      <c r="H26" s="198">
        <v>2687942.5</v>
      </c>
      <c r="I26" s="198">
        <v>-708344.74366666679</v>
      </c>
      <c r="J26" s="198">
        <f t="shared" si="0"/>
        <v>5265300.0713333338</v>
      </c>
      <c r="K26" s="18"/>
      <c r="L26" s="18"/>
      <c r="M26" s="18"/>
    </row>
    <row r="27" spans="1:13" x14ac:dyDescent="0.2">
      <c r="A27" s="25"/>
      <c r="B27" s="219"/>
      <c r="C27" s="204" t="s">
        <v>207</v>
      </c>
      <c r="D27" s="205">
        <v>89373.881999999998</v>
      </c>
      <c r="E27" s="206">
        <v>2967104.166666667</v>
      </c>
      <c r="F27" s="206">
        <v>219035.83333333334</v>
      </c>
      <c r="G27" s="206">
        <v>59829.166666666672</v>
      </c>
      <c r="H27" s="206">
        <v>2729273.3333333335</v>
      </c>
      <c r="I27" s="206">
        <v>-757244.33866666711</v>
      </c>
      <c r="J27" s="206">
        <f t="shared" si="0"/>
        <v>5307372.0433333339</v>
      </c>
      <c r="K27" s="18"/>
      <c r="L27" s="18"/>
      <c r="M27" s="18"/>
    </row>
    <row r="28" spans="1:13" x14ac:dyDescent="0.2">
      <c r="A28" s="25"/>
      <c r="B28" s="219">
        <v>2011</v>
      </c>
      <c r="C28" s="207" t="s">
        <v>204</v>
      </c>
      <c r="D28" s="202">
        <v>89777.407000000007</v>
      </c>
      <c r="E28" s="208">
        <v>3300465.8333333335</v>
      </c>
      <c r="F28" s="208">
        <v>236772.5</v>
      </c>
      <c r="G28" s="208">
        <v>78939.166666666672</v>
      </c>
      <c r="H28" s="208">
        <v>2602507.5</v>
      </c>
      <c r="I28" s="208">
        <v>-741498.06666666677</v>
      </c>
      <c r="J28" s="208">
        <f t="shared" si="0"/>
        <v>5566964.3403333332</v>
      </c>
      <c r="K28" s="18"/>
      <c r="L28" s="18"/>
      <c r="M28" s="18"/>
    </row>
    <row r="29" spans="1:13" x14ac:dyDescent="0.2">
      <c r="A29" s="25"/>
      <c r="B29" s="219"/>
      <c r="C29" s="130" t="s">
        <v>205</v>
      </c>
      <c r="D29" s="203">
        <v>89667.123000000007</v>
      </c>
      <c r="E29" s="198">
        <v>3018437.5</v>
      </c>
      <c r="F29" s="198">
        <v>302705.83333333337</v>
      </c>
      <c r="G29" s="198">
        <v>89632.5</v>
      </c>
      <c r="H29" s="198">
        <v>2593193.3333333335</v>
      </c>
      <c r="I29" s="198">
        <v>-660817.5</v>
      </c>
      <c r="J29" s="198">
        <f t="shared" si="0"/>
        <v>5432818.7896666676</v>
      </c>
      <c r="K29" s="18"/>
      <c r="L29" s="18"/>
      <c r="M29" s="18"/>
    </row>
    <row r="30" spans="1:13" x14ac:dyDescent="0.2">
      <c r="A30" s="25"/>
      <c r="B30" s="219"/>
      <c r="C30" s="130" t="s">
        <v>206</v>
      </c>
      <c r="D30" s="203">
        <v>86821.675000000003</v>
      </c>
      <c r="E30" s="198">
        <v>2830612.5</v>
      </c>
      <c r="F30" s="198">
        <v>301326.66666666669</v>
      </c>
      <c r="G30" s="198">
        <v>86940</v>
      </c>
      <c r="H30" s="198">
        <v>2655067.5</v>
      </c>
      <c r="I30" s="198">
        <v>-799625.83333333337</v>
      </c>
      <c r="J30" s="198">
        <f t="shared" si="0"/>
        <v>5161142.5083333338</v>
      </c>
      <c r="K30" s="18"/>
      <c r="L30" s="18"/>
      <c r="M30" s="18"/>
    </row>
    <row r="31" spans="1:13" x14ac:dyDescent="0.2">
      <c r="A31" s="25"/>
      <c r="B31" s="219"/>
      <c r="C31" s="204" t="s">
        <v>207</v>
      </c>
      <c r="D31" s="205">
        <v>94635.178</v>
      </c>
      <c r="E31" s="206">
        <v>2352110.8333333335</v>
      </c>
      <c r="F31" s="206">
        <v>293668.33333333337</v>
      </c>
      <c r="G31" s="206">
        <v>88570</v>
      </c>
      <c r="H31" s="206">
        <v>2724250.8333333335</v>
      </c>
      <c r="I31" s="206">
        <v>-800350</v>
      </c>
      <c r="J31" s="206">
        <f t="shared" si="0"/>
        <v>4752885.1780000003</v>
      </c>
      <c r="K31" s="18"/>
      <c r="L31" s="18"/>
      <c r="M31" s="18"/>
    </row>
    <row r="32" spans="1:13" x14ac:dyDescent="0.2">
      <c r="A32" s="25"/>
      <c r="B32" s="219">
        <v>2012</v>
      </c>
      <c r="C32" s="207" t="s">
        <v>204</v>
      </c>
      <c r="D32" s="202">
        <v>90291.547999999995</v>
      </c>
      <c r="E32" s="208">
        <v>2641666.666666667</v>
      </c>
      <c r="F32" s="208">
        <v>288100.83333333337</v>
      </c>
      <c r="G32" s="208">
        <v>91946.666666666672</v>
      </c>
      <c r="H32" s="208">
        <v>2701511.666666667</v>
      </c>
      <c r="I32" s="208">
        <v>-638688.33333333337</v>
      </c>
      <c r="J32" s="208">
        <f t="shared" si="0"/>
        <v>5174829.0480000013</v>
      </c>
      <c r="K32" s="18"/>
      <c r="L32" s="18"/>
      <c r="M32" s="18"/>
    </row>
    <row r="33" spans="1:13" x14ac:dyDescent="0.2">
      <c r="A33" s="25"/>
      <c r="B33" s="219"/>
      <c r="C33" s="130" t="s">
        <v>205</v>
      </c>
      <c r="D33" s="203">
        <v>93492.849000000002</v>
      </c>
      <c r="E33" s="198">
        <v>2745956.666666667</v>
      </c>
      <c r="F33" s="198">
        <v>285437.5</v>
      </c>
      <c r="G33" s="198">
        <v>89191.666666666672</v>
      </c>
      <c r="H33" s="198">
        <v>2697585</v>
      </c>
      <c r="I33" s="198">
        <v>-614727.5</v>
      </c>
      <c r="J33" s="198">
        <f t="shared" si="0"/>
        <v>5296936.1823333334</v>
      </c>
      <c r="K33" s="18"/>
      <c r="L33" s="18"/>
      <c r="M33" s="18"/>
    </row>
    <row r="34" spans="1:13" x14ac:dyDescent="0.2">
      <c r="A34" s="25"/>
      <c r="B34" s="219"/>
      <c r="C34" s="130" t="s">
        <v>206</v>
      </c>
      <c r="D34" s="203">
        <v>91803.201000000001</v>
      </c>
      <c r="E34" s="198">
        <v>2602755</v>
      </c>
      <c r="F34" s="198">
        <v>280437.5</v>
      </c>
      <c r="G34" s="198">
        <v>86091.666666666672</v>
      </c>
      <c r="H34" s="198">
        <v>2696882.5</v>
      </c>
      <c r="I34" s="198">
        <v>-808489.16666666674</v>
      </c>
      <c r="J34" s="198">
        <f t="shared" si="0"/>
        <v>4949480.7009999994</v>
      </c>
      <c r="K34" s="18"/>
      <c r="L34" s="18"/>
      <c r="M34" s="18"/>
    </row>
    <row r="35" spans="1:13" x14ac:dyDescent="0.2">
      <c r="A35" s="25"/>
      <c r="B35" s="219"/>
      <c r="C35" s="204" t="s">
        <v>207</v>
      </c>
      <c r="D35" s="205">
        <v>99133.245999999999</v>
      </c>
      <c r="E35" s="206">
        <v>2702745.8333333335</v>
      </c>
      <c r="F35" s="206">
        <v>278317.5</v>
      </c>
      <c r="G35" s="206">
        <v>80395.833333333343</v>
      </c>
      <c r="H35" s="206">
        <v>2691864.166666667</v>
      </c>
      <c r="I35" s="206">
        <v>-603780.83333333337</v>
      </c>
      <c r="J35" s="206">
        <f t="shared" si="0"/>
        <v>5248675.7460000003</v>
      </c>
      <c r="K35" s="18"/>
      <c r="L35" s="18"/>
      <c r="M35" s="18"/>
    </row>
    <row r="36" spans="1:13" x14ac:dyDescent="0.2">
      <c r="A36" s="25"/>
      <c r="B36" s="219">
        <v>2013</v>
      </c>
      <c r="C36" s="207" t="s">
        <v>204</v>
      </c>
      <c r="D36" s="202">
        <v>94280.828999999998</v>
      </c>
      <c r="E36" s="208">
        <v>2985774.166666667</v>
      </c>
      <c r="F36" s="208">
        <v>283328.33333333337</v>
      </c>
      <c r="G36" s="208">
        <v>71635</v>
      </c>
      <c r="H36" s="208">
        <v>2651674.166666667</v>
      </c>
      <c r="I36" s="208">
        <v>-555883.33333333337</v>
      </c>
      <c r="J36" s="208">
        <f t="shared" si="0"/>
        <v>5530809.1623333348</v>
      </c>
      <c r="K36" s="18"/>
      <c r="L36" s="18"/>
      <c r="M36" s="18"/>
    </row>
    <row r="37" spans="1:13" x14ac:dyDescent="0.2">
      <c r="A37" s="25"/>
      <c r="B37" s="219"/>
      <c r="C37" s="130" t="s">
        <v>205</v>
      </c>
      <c r="D37" s="203">
        <v>92168.726999999999</v>
      </c>
      <c r="E37" s="198">
        <v>2721544.166666667</v>
      </c>
      <c r="F37" s="198">
        <v>282510</v>
      </c>
      <c r="G37" s="198">
        <v>69328.333333333343</v>
      </c>
      <c r="H37" s="198">
        <v>2628270</v>
      </c>
      <c r="I37" s="198">
        <v>-485151.41666666663</v>
      </c>
      <c r="J37" s="198">
        <f t="shared" si="0"/>
        <v>5308669.810333333</v>
      </c>
      <c r="K37" s="18"/>
      <c r="L37" s="18"/>
      <c r="M37" s="18"/>
    </row>
    <row r="38" spans="1:13" x14ac:dyDescent="0.2">
      <c r="A38" s="25"/>
      <c r="B38" s="219"/>
      <c r="C38" s="130" t="s">
        <v>206</v>
      </c>
      <c r="D38" s="203">
        <v>93735.305999999997</v>
      </c>
      <c r="E38" s="198">
        <v>2657129.166666667</v>
      </c>
      <c r="F38" s="198">
        <v>278535</v>
      </c>
      <c r="G38" s="198">
        <v>67393.333333333343</v>
      </c>
      <c r="H38" s="198">
        <v>2587407.5</v>
      </c>
      <c r="I38" s="198">
        <v>-418936.25</v>
      </c>
      <c r="J38" s="198">
        <f t="shared" si="0"/>
        <v>5265264.0559999999</v>
      </c>
      <c r="K38" s="18"/>
      <c r="L38" s="18"/>
      <c r="M38" s="18"/>
    </row>
    <row r="39" spans="1:13" x14ac:dyDescent="0.2">
      <c r="A39" s="25"/>
      <c r="B39" s="219"/>
      <c r="C39" s="204" t="s">
        <v>207</v>
      </c>
      <c r="D39" s="205">
        <v>101476.898</v>
      </c>
      <c r="E39" s="206">
        <v>3147835</v>
      </c>
      <c r="F39" s="206">
        <v>262695</v>
      </c>
      <c r="G39" s="206">
        <v>75223.333333333343</v>
      </c>
      <c r="H39" s="206">
        <v>2636772.5</v>
      </c>
      <c r="I39" s="206">
        <v>-335603.5</v>
      </c>
      <c r="J39" s="206">
        <f t="shared" si="0"/>
        <v>5888399.231333334</v>
      </c>
      <c r="K39" s="18"/>
      <c r="L39" s="18"/>
      <c r="M39" s="18"/>
    </row>
    <row r="40" spans="1:13" x14ac:dyDescent="0.2">
      <c r="A40" s="25"/>
      <c r="B40" s="219">
        <v>2014</v>
      </c>
      <c r="C40" s="207" t="s">
        <v>204</v>
      </c>
      <c r="D40" s="202">
        <v>96994.873000000007</v>
      </c>
      <c r="E40" s="208">
        <v>3045282.5</v>
      </c>
      <c r="F40" s="208">
        <v>258850</v>
      </c>
      <c r="G40" s="208">
        <v>73716.666666666672</v>
      </c>
      <c r="H40" s="208">
        <v>2624563.3333333335</v>
      </c>
      <c r="I40" s="208">
        <v>-448499.16666666669</v>
      </c>
      <c r="J40" s="208">
        <f t="shared" si="0"/>
        <v>5650908.2063333327</v>
      </c>
      <c r="K40" s="18"/>
      <c r="L40" s="18"/>
      <c r="M40" s="18"/>
    </row>
    <row r="41" spans="1:13" x14ac:dyDescent="0.2">
      <c r="A41" s="25"/>
      <c r="B41" s="219"/>
      <c r="C41" s="130" t="s">
        <v>205</v>
      </c>
      <c r="D41" s="203">
        <v>97109.331999999995</v>
      </c>
      <c r="E41" s="198">
        <v>2700652.5</v>
      </c>
      <c r="F41" s="198">
        <v>264163.33333333337</v>
      </c>
      <c r="G41" s="198">
        <v>62922.5</v>
      </c>
      <c r="H41" s="198">
        <v>2666935</v>
      </c>
      <c r="I41" s="198">
        <v>-433827.5</v>
      </c>
      <c r="J41" s="198">
        <f t="shared" si="0"/>
        <v>5357955.1653333334</v>
      </c>
      <c r="K41" s="18"/>
      <c r="L41" s="18"/>
      <c r="M41" s="18"/>
    </row>
    <row r="42" spans="1:13" x14ac:dyDescent="0.2">
      <c r="A42" s="25"/>
      <c r="B42" s="219"/>
      <c r="C42" s="130" t="s">
        <v>206</v>
      </c>
      <c r="D42" s="203">
        <v>95469.922000000006</v>
      </c>
      <c r="E42" s="198">
        <v>2510740.8333333335</v>
      </c>
      <c r="F42" s="198">
        <v>250426.66666666669</v>
      </c>
      <c r="G42" s="198">
        <v>71960</v>
      </c>
      <c r="H42" s="198">
        <v>2688485</v>
      </c>
      <c r="I42" s="198">
        <v>-476775</v>
      </c>
      <c r="J42" s="198">
        <f t="shared" si="0"/>
        <v>5140307.4220000003</v>
      </c>
      <c r="K42" s="18"/>
      <c r="L42" s="18"/>
      <c r="M42" s="18"/>
    </row>
    <row r="43" spans="1:13" x14ac:dyDescent="0.2">
      <c r="A43" s="25"/>
      <c r="B43" s="219"/>
      <c r="C43" s="204" t="s">
        <v>207</v>
      </c>
      <c r="D43" s="205">
        <v>100243.712</v>
      </c>
      <c r="E43" s="206">
        <v>2181505.8333333335</v>
      </c>
      <c r="F43" s="206">
        <v>243614.16666666669</v>
      </c>
      <c r="G43" s="206">
        <v>70134.166666666672</v>
      </c>
      <c r="H43" s="206">
        <v>2657484.166666667</v>
      </c>
      <c r="I43" s="206">
        <v>-320585.83333333337</v>
      </c>
      <c r="J43" s="206">
        <f t="shared" si="0"/>
        <v>4932396.2120000003</v>
      </c>
      <c r="K43" s="18"/>
      <c r="L43" s="18"/>
      <c r="M43" s="18"/>
    </row>
    <row r="44" spans="1:13" x14ac:dyDescent="0.2">
      <c r="A44" s="25"/>
      <c r="B44" s="219">
        <v>2015</v>
      </c>
      <c r="C44" s="207" t="s">
        <v>204</v>
      </c>
      <c r="D44" s="202">
        <v>98775.788</v>
      </c>
      <c r="E44" s="208">
        <v>2203230</v>
      </c>
      <c r="F44" s="208">
        <v>242012.5</v>
      </c>
      <c r="G44" s="208">
        <v>71084.166666666672</v>
      </c>
      <c r="H44" s="208">
        <v>2602773.3333333335</v>
      </c>
      <c r="I44" s="208">
        <v>-310603.33333333337</v>
      </c>
      <c r="J44" s="208">
        <f t="shared" si="0"/>
        <v>4907272.4546666676</v>
      </c>
      <c r="K44" s="18"/>
      <c r="L44" s="18"/>
      <c r="M44" s="18"/>
    </row>
    <row r="45" spans="1:13" x14ac:dyDescent="0.2">
      <c r="A45" s="25"/>
      <c r="B45" s="219"/>
      <c r="C45" s="130" t="s">
        <v>205</v>
      </c>
      <c r="D45" s="203">
        <v>99812.597240000003</v>
      </c>
      <c r="E45" s="198">
        <v>2252625</v>
      </c>
      <c r="F45" s="198">
        <v>237065</v>
      </c>
      <c r="G45" s="198">
        <v>76145.833333333343</v>
      </c>
      <c r="H45" s="198">
        <v>2632825</v>
      </c>
      <c r="I45" s="198">
        <v>-282066.30166666664</v>
      </c>
      <c r="J45" s="198">
        <f t="shared" si="0"/>
        <v>5016407.1289066663</v>
      </c>
      <c r="K45" s="18"/>
      <c r="L45" s="18"/>
      <c r="M45" s="18"/>
    </row>
    <row r="46" spans="1:13" x14ac:dyDescent="0.2">
      <c r="A46" s="25"/>
      <c r="B46" s="219"/>
      <c r="C46" s="130" t="s">
        <v>206</v>
      </c>
      <c r="D46" s="203">
        <v>104256.88400000001</v>
      </c>
      <c r="E46" s="198">
        <v>3101693.3333333335</v>
      </c>
      <c r="F46" s="198">
        <v>234795</v>
      </c>
      <c r="G46" s="198">
        <v>76303.333333333343</v>
      </c>
      <c r="H46" s="198">
        <v>2697831.666666667</v>
      </c>
      <c r="I46" s="198">
        <v>-760676.66666666674</v>
      </c>
      <c r="J46" s="198">
        <f t="shared" si="0"/>
        <v>5454203.5506666666</v>
      </c>
      <c r="K46" s="18"/>
      <c r="L46" s="18"/>
      <c r="M46" s="18"/>
    </row>
    <row r="47" spans="1:13" x14ac:dyDescent="0.2">
      <c r="A47" s="25"/>
      <c r="B47" s="219"/>
      <c r="C47" s="204" t="s">
        <v>207</v>
      </c>
      <c r="D47" s="205">
        <v>110803.60500000001</v>
      </c>
      <c r="E47" s="206">
        <v>3684633.3333333335</v>
      </c>
      <c r="F47" s="206">
        <v>226475</v>
      </c>
      <c r="G47" s="206">
        <v>70036.666666666672</v>
      </c>
      <c r="H47" s="206">
        <v>2684706.666666667</v>
      </c>
      <c r="I47" s="206">
        <v>-878694.87933333346</v>
      </c>
      <c r="J47" s="206">
        <f t="shared" si="0"/>
        <v>5897960.3923333334</v>
      </c>
      <c r="K47" s="18"/>
      <c r="L47" s="18"/>
      <c r="M47" s="18"/>
    </row>
    <row r="48" spans="1:13" x14ac:dyDescent="0.2">
      <c r="A48" s="25"/>
      <c r="B48" s="219">
        <v>2016</v>
      </c>
      <c r="C48" s="207" t="s">
        <v>204</v>
      </c>
      <c r="D48" s="202">
        <v>108195.675</v>
      </c>
      <c r="E48" s="208">
        <v>4006320.8333333335</v>
      </c>
      <c r="F48" s="208">
        <v>224310</v>
      </c>
      <c r="G48" s="208">
        <v>68988.333333333343</v>
      </c>
      <c r="H48" s="208">
        <v>2661350</v>
      </c>
      <c r="I48" s="208">
        <v>-950835.83333333337</v>
      </c>
      <c r="J48" s="208">
        <f t="shared" si="0"/>
        <v>6118329.0083333328</v>
      </c>
      <c r="K48" s="18"/>
      <c r="L48" s="18"/>
      <c r="M48" s="18"/>
    </row>
    <row r="49" spans="1:13" x14ac:dyDescent="0.2">
      <c r="A49" s="25"/>
      <c r="B49" s="219"/>
      <c r="C49" s="130" t="s">
        <v>205</v>
      </c>
      <c r="D49" s="203">
        <v>112913.70699999999</v>
      </c>
      <c r="E49" s="198">
        <v>3737235</v>
      </c>
      <c r="F49" s="198">
        <v>222240</v>
      </c>
      <c r="G49" s="198">
        <v>66406.666666666672</v>
      </c>
      <c r="H49" s="198">
        <v>2694503.3333333335</v>
      </c>
      <c r="I49" s="198">
        <v>-931805.37366666622</v>
      </c>
      <c r="J49" s="198">
        <f t="shared" si="0"/>
        <v>5901493.333333334</v>
      </c>
      <c r="K49" s="18"/>
      <c r="L49" s="18"/>
      <c r="M49" s="18"/>
    </row>
    <row r="50" spans="1:13" x14ac:dyDescent="0.2">
      <c r="A50" s="25"/>
      <c r="B50" s="219"/>
      <c r="C50" s="130" t="s">
        <v>206</v>
      </c>
      <c r="D50" s="203">
        <v>115407.94699999999</v>
      </c>
      <c r="E50" s="198">
        <v>3688906.666666667</v>
      </c>
      <c r="F50" s="198">
        <v>211476.66666666669</v>
      </c>
      <c r="G50" s="198">
        <v>83112.5</v>
      </c>
      <c r="H50" s="198">
        <v>2771814.166666667</v>
      </c>
      <c r="I50" s="198">
        <v>-1036792.1136666668</v>
      </c>
      <c r="J50" s="198">
        <f t="shared" si="0"/>
        <v>5833925.833333334</v>
      </c>
      <c r="K50" s="18"/>
      <c r="L50" s="18"/>
      <c r="M50" s="18"/>
    </row>
    <row r="51" spans="1:13" x14ac:dyDescent="0.2">
      <c r="A51" s="25"/>
      <c r="B51" s="219"/>
      <c r="C51" s="204" t="s">
        <v>207</v>
      </c>
      <c r="D51" s="205">
        <v>122210.798</v>
      </c>
      <c r="E51" s="206">
        <v>3775038.3333333335</v>
      </c>
      <c r="F51" s="206">
        <v>210950.83333333334</v>
      </c>
      <c r="G51" s="206">
        <v>63962.5</v>
      </c>
      <c r="H51" s="206">
        <v>2808971.666666667</v>
      </c>
      <c r="I51" s="206">
        <v>-825849.16666666674</v>
      </c>
      <c r="J51" s="206">
        <f t="shared" si="0"/>
        <v>6155284.9646666674</v>
      </c>
      <c r="K51" s="18"/>
      <c r="L51" s="18"/>
      <c r="M51" s="18"/>
    </row>
    <row r="53" spans="1:13" x14ac:dyDescent="0.2">
      <c r="B53" s="209" t="s">
        <v>234</v>
      </c>
    </row>
  </sheetData>
  <mergeCells count="19">
    <mergeCell ref="F4:I4"/>
    <mergeCell ref="D4:E5"/>
    <mergeCell ref="I5:I6"/>
    <mergeCell ref="D2:J2"/>
    <mergeCell ref="B44:B47"/>
    <mergeCell ref="B48:B51"/>
    <mergeCell ref="D7:J7"/>
    <mergeCell ref="B32:B35"/>
    <mergeCell ref="B36:B39"/>
    <mergeCell ref="B40:B43"/>
    <mergeCell ref="D3:J3"/>
    <mergeCell ref="J4:J6"/>
    <mergeCell ref="B20:B23"/>
    <mergeCell ref="B24:B27"/>
    <mergeCell ref="B28:B31"/>
    <mergeCell ref="B8:B11"/>
    <mergeCell ref="B12:B15"/>
    <mergeCell ref="B16:B19"/>
    <mergeCell ref="F5:H5"/>
  </mergeCells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4481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323850</xdr:colOff>
                <xdr:row>3</xdr:row>
                <xdr:rowOff>152400</xdr:rowOff>
              </to>
            </anchor>
          </objectPr>
        </oleObject>
      </mc:Choice>
      <mc:Fallback>
        <oleObject progId="MSPhotoEd.3" shapeId="40448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3"/>
  <sheetViews>
    <sheetView workbookViewId="0">
      <selection activeCell="B6" sqref="B6"/>
    </sheetView>
  </sheetViews>
  <sheetFormatPr defaultRowHeight="12.75" x14ac:dyDescent="0.2"/>
  <cols>
    <col min="1" max="3" width="9.140625" style="17"/>
    <col min="4" max="4" width="11.5703125" style="17" customWidth="1"/>
    <col min="5" max="5" width="10.5703125" style="17" customWidth="1"/>
    <col min="6" max="6" width="10.85546875" style="17" customWidth="1"/>
    <col min="7" max="7" width="11.140625" style="17" customWidth="1"/>
    <col min="8" max="8" width="15" style="17" customWidth="1"/>
    <col min="9" max="9" width="11.140625" style="17" customWidth="1"/>
    <col min="10" max="11" width="10.42578125" style="17" bestFit="1" customWidth="1"/>
    <col min="12" max="16384" width="9.140625" style="17"/>
  </cols>
  <sheetData>
    <row r="2" spans="1:11" ht="15" x14ac:dyDescent="0.25">
      <c r="D2" s="218" t="s">
        <v>239</v>
      </c>
      <c r="E2" s="218"/>
      <c r="F2" s="218"/>
      <c r="G2" s="218"/>
      <c r="H2" s="218"/>
      <c r="I2" s="218"/>
      <c r="J2" s="210"/>
    </row>
    <row r="3" spans="1:11" x14ac:dyDescent="0.2">
      <c r="A3" s="25"/>
      <c r="D3" s="221" t="s">
        <v>210</v>
      </c>
      <c r="E3" s="222"/>
      <c r="F3" s="222"/>
      <c r="G3" s="222"/>
      <c r="H3" s="222"/>
      <c r="I3" s="223"/>
    </row>
    <row r="4" spans="1:11" x14ac:dyDescent="0.2">
      <c r="D4" s="228" t="s">
        <v>211</v>
      </c>
      <c r="E4" s="229"/>
      <c r="F4" s="228" t="s">
        <v>216</v>
      </c>
      <c r="G4" s="232"/>
      <c r="H4" s="232"/>
      <c r="I4" s="224" t="s">
        <v>22</v>
      </c>
    </row>
    <row r="5" spans="1:11" x14ac:dyDescent="0.2">
      <c r="D5" s="230"/>
      <c r="E5" s="231"/>
      <c r="F5" s="230"/>
      <c r="G5" s="233"/>
      <c r="H5" s="233"/>
      <c r="I5" s="225"/>
    </row>
    <row r="6" spans="1:11" ht="38.25" x14ac:dyDescent="0.2">
      <c r="D6" s="200" t="s">
        <v>23</v>
      </c>
      <c r="E6" s="200" t="s">
        <v>212</v>
      </c>
      <c r="F6" s="200" t="s">
        <v>213</v>
      </c>
      <c r="G6" s="200" t="s">
        <v>214</v>
      </c>
      <c r="H6" s="200" t="s">
        <v>215</v>
      </c>
      <c r="I6" s="226"/>
    </row>
    <row r="7" spans="1:11" x14ac:dyDescent="0.2">
      <c r="C7" s="201"/>
      <c r="D7" s="220" t="s">
        <v>209</v>
      </c>
      <c r="E7" s="220"/>
      <c r="F7" s="220"/>
      <c r="G7" s="220"/>
      <c r="H7" s="220"/>
      <c r="I7" s="220"/>
    </row>
    <row r="8" spans="1:11" x14ac:dyDescent="0.2">
      <c r="B8" s="234">
        <v>2006</v>
      </c>
      <c r="C8" s="207" t="s">
        <v>204</v>
      </c>
      <c r="D8" s="202">
        <v>69971.801999999996</v>
      </c>
      <c r="E8" s="208">
        <v>268466.66666666669</v>
      </c>
      <c r="F8" s="208">
        <v>210550.83333333334</v>
      </c>
      <c r="G8" s="208">
        <v>373849.16666666669</v>
      </c>
      <c r="H8" s="208">
        <v>4442870.833333334</v>
      </c>
      <c r="I8" s="208">
        <f>SUM(D8:H8)</f>
        <v>5365709.3020000011</v>
      </c>
      <c r="J8" s="18"/>
      <c r="K8" s="18"/>
    </row>
    <row r="9" spans="1:11" x14ac:dyDescent="0.2">
      <c r="B9" s="234"/>
      <c r="C9" s="130" t="s">
        <v>205</v>
      </c>
      <c r="D9" s="203">
        <v>70558.403999999995</v>
      </c>
      <c r="E9" s="198">
        <v>255275</v>
      </c>
      <c r="F9" s="198">
        <v>209626.66666666669</v>
      </c>
      <c r="G9" s="198">
        <v>366086.66666666669</v>
      </c>
      <c r="H9" s="198">
        <v>4844262.5</v>
      </c>
      <c r="I9" s="198">
        <f t="shared" ref="I9:I51" si="0">SUM(D9:H9)</f>
        <v>5745809.2373333331</v>
      </c>
      <c r="J9" s="18"/>
      <c r="K9" s="18"/>
    </row>
    <row r="10" spans="1:11" x14ac:dyDescent="0.2">
      <c r="B10" s="234"/>
      <c r="C10" s="130" t="s">
        <v>206</v>
      </c>
      <c r="D10" s="203">
        <v>68983.527999999991</v>
      </c>
      <c r="E10" s="198">
        <v>222361.66666666669</v>
      </c>
      <c r="F10" s="198">
        <v>195578.33333333334</v>
      </c>
      <c r="G10" s="198">
        <v>400291.66666666669</v>
      </c>
      <c r="H10" s="198">
        <v>4848601.666666667</v>
      </c>
      <c r="I10" s="198">
        <f t="shared" si="0"/>
        <v>5735816.8613333339</v>
      </c>
      <c r="J10" s="18"/>
      <c r="K10" s="18"/>
    </row>
    <row r="11" spans="1:11" x14ac:dyDescent="0.2">
      <c r="B11" s="234"/>
      <c r="C11" s="204" t="s">
        <v>207</v>
      </c>
      <c r="D11" s="205">
        <v>78188.789000000004</v>
      </c>
      <c r="E11" s="206">
        <v>257544.16666666669</v>
      </c>
      <c r="F11" s="206">
        <v>189502.5</v>
      </c>
      <c r="G11" s="206">
        <v>413949.16666666669</v>
      </c>
      <c r="H11" s="206">
        <v>5378296.666666667</v>
      </c>
      <c r="I11" s="206">
        <f t="shared" si="0"/>
        <v>6317481.2890000008</v>
      </c>
      <c r="J11" s="18"/>
      <c r="K11" s="18"/>
    </row>
    <row r="12" spans="1:11" x14ac:dyDescent="0.2">
      <c r="B12" s="234">
        <v>2007</v>
      </c>
      <c r="C12" s="207" t="s">
        <v>204</v>
      </c>
      <c r="D12" s="202">
        <v>74078.676999999996</v>
      </c>
      <c r="E12" s="208">
        <v>235365.83333333334</v>
      </c>
      <c r="F12" s="208">
        <v>194027.5</v>
      </c>
      <c r="G12" s="208">
        <v>476733.33333333337</v>
      </c>
      <c r="H12" s="208">
        <v>5957815</v>
      </c>
      <c r="I12" s="208">
        <f t="shared" si="0"/>
        <v>6938020.3436666671</v>
      </c>
      <c r="J12" s="18"/>
      <c r="K12" s="18"/>
    </row>
    <row r="13" spans="1:11" x14ac:dyDescent="0.2">
      <c r="B13" s="234"/>
      <c r="C13" s="130" t="s">
        <v>205</v>
      </c>
      <c r="D13" s="203">
        <v>76203.263999999996</v>
      </c>
      <c r="E13" s="198">
        <v>208759.16666666669</v>
      </c>
      <c r="F13" s="198">
        <v>195575.83333333334</v>
      </c>
      <c r="G13" s="198">
        <v>405447.5</v>
      </c>
      <c r="H13" s="198">
        <v>6085154.166666667</v>
      </c>
      <c r="I13" s="198">
        <f t="shared" si="0"/>
        <v>6971139.9306666674</v>
      </c>
      <c r="J13" s="18"/>
      <c r="K13" s="18"/>
    </row>
    <row r="14" spans="1:11" x14ac:dyDescent="0.2">
      <c r="B14" s="234"/>
      <c r="C14" s="130" t="s">
        <v>206</v>
      </c>
      <c r="D14" s="203">
        <v>75729.08600000001</v>
      </c>
      <c r="E14" s="198">
        <v>233949.16666666669</v>
      </c>
      <c r="F14" s="198">
        <v>196257.5</v>
      </c>
      <c r="G14" s="198">
        <v>456523.33333333337</v>
      </c>
      <c r="H14" s="198">
        <v>4199362.5</v>
      </c>
      <c r="I14" s="198">
        <f t="shared" si="0"/>
        <v>5161821.5860000001</v>
      </c>
      <c r="J14" s="18"/>
      <c r="K14" s="18"/>
    </row>
    <row r="15" spans="1:11" x14ac:dyDescent="0.2">
      <c r="B15" s="234"/>
      <c r="C15" s="204" t="s">
        <v>207</v>
      </c>
      <c r="D15" s="205">
        <v>81836.650999999998</v>
      </c>
      <c r="E15" s="206">
        <v>239913.33333333334</v>
      </c>
      <c r="F15" s="206">
        <v>180621.66666666669</v>
      </c>
      <c r="G15" s="206">
        <v>411695.83333333337</v>
      </c>
      <c r="H15" s="206">
        <v>4500640</v>
      </c>
      <c r="I15" s="206">
        <f t="shared" si="0"/>
        <v>5414707.4843333336</v>
      </c>
      <c r="J15" s="18"/>
      <c r="K15" s="18"/>
    </row>
    <row r="16" spans="1:11" x14ac:dyDescent="0.2">
      <c r="B16" s="234">
        <v>2008</v>
      </c>
      <c r="C16" s="207" t="s">
        <v>204</v>
      </c>
      <c r="D16" s="202">
        <v>75742.676000000007</v>
      </c>
      <c r="E16" s="208">
        <v>261894.16666666669</v>
      </c>
      <c r="F16" s="208">
        <v>190406.66666666669</v>
      </c>
      <c r="G16" s="208">
        <v>452748.33333333337</v>
      </c>
      <c r="H16" s="208">
        <v>4581980.833333334</v>
      </c>
      <c r="I16" s="208">
        <f t="shared" si="0"/>
        <v>5562772.6760000009</v>
      </c>
      <c r="J16" s="18"/>
      <c r="K16" s="18"/>
    </row>
    <row r="17" spans="2:11" x14ac:dyDescent="0.2">
      <c r="B17" s="234"/>
      <c r="C17" s="130" t="s">
        <v>205</v>
      </c>
      <c r="D17" s="203">
        <v>78794.627999999997</v>
      </c>
      <c r="E17" s="198">
        <v>239584.16666666669</v>
      </c>
      <c r="F17" s="198">
        <v>201110.83333333334</v>
      </c>
      <c r="G17" s="198">
        <v>528285</v>
      </c>
      <c r="H17" s="198">
        <v>3950301.666666667</v>
      </c>
      <c r="I17" s="198">
        <f t="shared" si="0"/>
        <v>4998076.2946666665</v>
      </c>
      <c r="J17" s="18"/>
      <c r="K17" s="18"/>
    </row>
    <row r="18" spans="2:11" x14ac:dyDescent="0.2">
      <c r="B18" s="234"/>
      <c r="C18" s="130" t="s">
        <v>206</v>
      </c>
      <c r="D18" s="203">
        <v>77306.422999999995</v>
      </c>
      <c r="E18" s="198">
        <v>248888.33333333334</v>
      </c>
      <c r="F18" s="198">
        <v>265257.5</v>
      </c>
      <c r="G18" s="198">
        <v>452889.16666666669</v>
      </c>
      <c r="H18" s="198">
        <v>3627041.666666667</v>
      </c>
      <c r="I18" s="198">
        <f t="shared" si="0"/>
        <v>4671383.0896666665</v>
      </c>
      <c r="J18" s="18"/>
      <c r="K18" s="18"/>
    </row>
    <row r="19" spans="2:11" x14ac:dyDescent="0.2">
      <c r="B19" s="234"/>
      <c r="C19" s="204" t="s">
        <v>207</v>
      </c>
      <c r="D19" s="205">
        <v>83600.459000000003</v>
      </c>
      <c r="E19" s="206">
        <v>250728.00255833336</v>
      </c>
      <c r="F19" s="206">
        <v>221914.10134166668</v>
      </c>
      <c r="G19" s="206">
        <v>461429.52263333334</v>
      </c>
      <c r="H19" s="206">
        <v>4550514.1744333329</v>
      </c>
      <c r="I19" s="206">
        <f t="shared" si="0"/>
        <v>5568186.2599666659</v>
      </c>
      <c r="J19" s="18"/>
      <c r="K19" s="18"/>
    </row>
    <row r="20" spans="2:11" x14ac:dyDescent="0.2">
      <c r="B20" s="234">
        <v>2009</v>
      </c>
      <c r="C20" s="207" t="s">
        <v>204</v>
      </c>
      <c r="D20" s="202">
        <v>82640.596000000005</v>
      </c>
      <c r="E20" s="208">
        <v>277488.33333333337</v>
      </c>
      <c r="F20" s="208">
        <v>231135</v>
      </c>
      <c r="G20" s="208">
        <v>456135.83333333337</v>
      </c>
      <c r="H20" s="208">
        <v>6857927.5</v>
      </c>
      <c r="I20" s="208">
        <f t="shared" si="0"/>
        <v>7905327.2626666669</v>
      </c>
      <c r="J20" s="18"/>
      <c r="K20" s="18"/>
    </row>
    <row r="21" spans="2:11" x14ac:dyDescent="0.2">
      <c r="B21" s="234"/>
      <c r="C21" s="130" t="s">
        <v>205</v>
      </c>
      <c r="D21" s="203">
        <v>83536.972999999998</v>
      </c>
      <c r="E21" s="198">
        <v>289149.16666666669</v>
      </c>
      <c r="F21" s="198">
        <v>247641.66666666669</v>
      </c>
      <c r="G21" s="198">
        <v>393505</v>
      </c>
      <c r="H21" s="198">
        <v>4719031.666666667</v>
      </c>
      <c r="I21" s="198">
        <f t="shared" si="0"/>
        <v>5732864.4730000002</v>
      </c>
      <c r="J21" s="18"/>
      <c r="K21" s="18"/>
    </row>
    <row r="22" spans="2:11" x14ac:dyDescent="0.2">
      <c r="B22" s="234"/>
      <c r="C22" s="130" t="s">
        <v>206</v>
      </c>
      <c r="D22" s="203">
        <v>79321.472999999998</v>
      </c>
      <c r="E22" s="198">
        <v>285335.83333333337</v>
      </c>
      <c r="F22" s="198">
        <v>229122.5</v>
      </c>
      <c r="G22" s="198">
        <v>420684.16666666669</v>
      </c>
      <c r="H22" s="198">
        <v>4443925</v>
      </c>
      <c r="I22" s="198">
        <f t="shared" si="0"/>
        <v>5458388.9730000002</v>
      </c>
      <c r="J22" s="18"/>
      <c r="K22" s="18"/>
    </row>
    <row r="23" spans="2:11" x14ac:dyDescent="0.2">
      <c r="B23" s="234"/>
      <c r="C23" s="204" t="s">
        <v>207</v>
      </c>
      <c r="D23" s="205">
        <v>87513.600000000006</v>
      </c>
      <c r="E23" s="206">
        <v>254507.5</v>
      </c>
      <c r="F23" s="206">
        <v>230244.16666666669</v>
      </c>
      <c r="G23" s="206">
        <v>389888.33333333337</v>
      </c>
      <c r="H23" s="206">
        <v>4987487.5</v>
      </c>
      <c r="I23" s="206">
        <f t="shared" si="0"/>
        <v>5949641.0999999996</v>
      </c>
      <c r="J23" s="18"/>
      <c r="K23" s="18"/>
    </row>
    <row r="24" spans="2:11" x14ac:dyDescent="0.2">
      <c r="B24" s="234">
        <v>2010</v>
      </c>
      <c r="C24" s="207" t="s">
        <v>204</v>
      </c>
      <c r="D24" s="202">
        <v>82258.593999999997</v>
      </c>
      <c r="E24" s="208">
        <v>294652.5</v>
      </c>
      <c r="F24" s="208">
        <v>238870.83333333334</v>
      </c>
      <c r="G24" s="208">
        <v>430488.33333333337</v>
      </c>
      <c r="H24" s="208">
        <v>4978509.166666667</v>
      </c>
      <c r="I24" s="208">
        <f t="shared" si="0"/>
        <v>6024779.4273333335</v>
      </c>
      <c r="J24" s="18"/>
      <c r="K24" s="18"/>
    </row>
    <row r="25" spans="2:11" x14ac:dyDescent="0.2">
      <c r="B25" s="234"/>
      <c r="C25" s="130" t="s">
        <v>205</v>
      </c>
      <c r="D25" s="203">
        <v>77985.289000000004</v>
      </c>
      <c r="E25" s="198">
        <v>285379.16666666669</v>
      </c>
      <c r="F25" s="198">
        <v>250083.33333333334</v>
      </c>
      <c r="G25" s="198">
        <v>373764.16666666669</v>
      </c>
      <c r="H25" s="198">
        <v>5159128.333333334</v>
      </c>
      <c r="I25" s="198">
        <f t="shared" si="0"/>
        <v>6146340.2890000008</v>
      </c>
      <c r="J25" s="18"/>
      <c r="K25" s="18"/>
    </row>
    <row r="26" spans="2:11" x14ac:dyDescent="0.2">
      <c r="B26" s="234"/>
      <c r="C26" s="130" t="s">
        <v>206</v>
      </c>
      <c r="D26" s="203">
        <v>78276.737999999998</v>
      </c>
      <c r="E26" s="198">
        <v>259204.16666666669</v>
      </c>
      <c r="F26" s="198">
        <v>239070</v>
      </c>
      <c r="G26" s="198">
        <v>359800.83333333337</v>
      </c>
      <c r="H26" s="198">
        <v>4328948.333333334</v>
      </c>
      <c r="I26" s="198">
        <f t="shared" si="0"/>
        <v>5265300.0713333338</v>
      </c>
      <c r="J26" s="18"/>
      <c r="K26" s="18"/>
    </row>
    <row r="27" spans="2:11" x14ac:dyDescent="0.2">
      <c r="B27" s="234"/>
      <c r="C27" s="204" t="s">
        <v>207</v>
      </c>
      <c r="D27" s="205">
        <v>85191.21</v>
      </c>
      <c r="E27" s="206">
        <v>298897.5</v>
      </c>
      <c r="F27" s="206">
        <v>241088.33333333334</v>
      </c>
      <c r="G27" s="206">
        <v>355960.83333333337</v>
      </c>
      <c r="H27" s="206">
        <v>4326234.166666667</v>
      </c>
      <c r="I27" s="206">
        <f t="shared" si="0"/>
        <v>5307372.0433333339</v>
      </c>
      <c r="J27" s="18"/>
      <c r="K27" s="18"/>
    </row>
    <row r="28" spans="2:11" x14ac:dyDescent="0.2">
      <c r="B28" s="234">
        <v>2011</v>
      </c>
      <c r="C28" s="207" t="s">
        <v>204</v>
      </c>
      <c r="D28" s="202">
        <v>85581.006999999998</v>
      </c>
      <c r="E28" s="208">
        <v>290756.66666666669</v>
      </c>
      <c r="F28" s="208">
        <v>259992.5</v>
      </c>
      <c r="G28" s="208">
        <v>383979.16666666669</v>
      </c>
      <c r="H28" s="208">
        <v>4546655</v>
      </c>
      <c r="I28" s="208">
        <f t="shared" si="0"/>
        <v>5566964.3403333332</v>
      </c>
      <c r="J28" s="18"/>
      <c r="K28" s="18"/>
    </row>
    <row r="29" spans="2:11" x14ac:dyDescent="0.2">
      <c r="B29" s="234"/>
      <c r="C29" s="130" t="s">
        <v>205</v>
      </c>
      <c r="D29" s="203">
        <v>84920.319000000003</v>
      </c>
      <c r="E29" s="198">
        <v>294513.33333333337</v>
      </c>
      <c r="F29" s="198">
        <v>274879.16666666669</v>
      </c>
      <c r="G29" s="198">
        <v>379529.16666666669</v>
      </c>
      <c r="H29" s="198">
        <v>4398977.5</v>
      </c>
      <c r="I29" s="198">
        <f t="shared" si="0"/>
        <v>5432819.4856666671</v>
      </c>
      <c r="J29" s="18"/>
      <c r="K29" s="18"/>
    </row>
    <row r="30" spans="2:11" x14ac:dyDescent="0.2">
      <c r="B30" s="234"/>
      <c r="C30" s="130" t="s">
        <v>206</v>
      </c>
      <c r="D30" s="203">
        <v>82051.64</v>
      </c>
      <c r="E30" s="198">
        <v>287227.5</v>
      </c>
      <c r="F30" s="198">
        <v>265795</v>
      </c>
      <c r="G30" s="198">
        <v>351215.83333333337</v>
      </c>
      <c r="H30" s="198">
        <v>4174852.5</v>
      </c>
      <c r="I30" s="198">
        <f t="shared" si="0"/>
        <v>5161142.4733333336</v>
      </c>
      <c r="J30" s="18"/>
      <c r="K30" s="18"/>
    </row>
    <row r="31" spans="2:11" x14ac:dyDescent="0.2">
      <c r="B31" s="234"/>
      <c r="C31" s="204" t="s">
        <v>207</v>
      </c>
      <c r="D31" s="205">
        <v>89718.570999999996</v>
      </c>
      <c r="E31" s="206">
        <v>237706.66666666669</v>
      </c>
      <c r="F31" s="206">
        <v>263706.66666666669</v>
      </c>
      <c r="G31" s="206">
        <v>344732.5</v>
      </c>
      <c r="H31" s="206">
        <v>3817020.8333333335</v>
      </c>
      <c r="I31" s="206">
        <f t="shared" si="0"/>
        <v>4752885.2376666665</v>
      </c>
      <c r="J31" s="18"/>
      <c r="K31" s="18"/>
    </row>
    <row r="32" spans="2:11" x14ac:dyDescent="0.2">
      <c r="B32" s="234">
        <v>2012</v>
      </c>
      <c r="C32" s="207" t="s">
        <v>204</v>
      </c>
      <c r="D32" s="202">
        <v>85388.03</v>
      </c>
      <c r="E32" s="208">
        <v>340288.33333333337</v>
      </c>
      <c r="F32" s="208">
        <v>277215</v>
      </c>
      <c r="G32" s="208">
        <v>369615</v>
      </c>
      <c r="H32" s="208">
        <v>4102322.5</v>
      </c>
      <c r="I32" s="208">
        <f t="shared" si="0"/>
        <v>5174828.8633333333</v>
      </c>
      <c r="J32" s="18"/>
      <c r="K32" s="18"/>
    </row>
    <row r="33" spans="2:11" x14ac:dyDescent="0.2">
      <c r="B33" s="234"/>
      <c r="C33" s="130" t="s">
        <v>205</v>
      </c>
      <c r="D33" s="203">
        <v>88696.168999999994</v>
      </c>
      <c r="E33" s="198">
        <v>365107.5</v>
      </c>
      <c r="F33" s="198">
        <v>322763.33333333337</v>
      </c>
      <c r="G33" s="198">
        <v>366958.33333333337</v>
      </c>
      <c r="H33" s="198">
        <v>4153410.8333333335</v>
      </c>
      <c r="I33" s="198">
        <f t="shared" si="0"/>
        <v>5296936.1689999998</v>
      </c>
      <c r="J33" s="18"/>
      <c r="K33" s="18"/>
    </row>
    <row r="34" spans="2:11" x14ac:dyDescent="0.2">
      <c r="B34" s="234"/>
      <c r="C34" s="130" t="s">
        <v>206</v>
      </c>
      <c r="D34" s="203">
        <v>86916.615000000005</v>
      </c>
      <c r="E34" s="198">
        <v>307396.66666666669</v>
      </c>
      <c r="F34" s="198">
        <v>314897.5</v>
      </c>
      <c r="G34" s="198">
        <v>349238.33333333337</v>
      </c>
      <c r="H34" s="198">
        <v>3891031.666666667</v>
      </c>
      <c r="I34" s="198">
        <f t="shared" si="0"/>
        <v>4949480.7816666672</v>
      </c>
      <c r="J34" s="18"/>
      <c r="K34" s="18"/>
    </row>
    <row r="35" spans="2:11" x14ac:dyDescent="0.2">
      <c r="B35" s="234"/>
      <c r="C35" s="204" t="s">
        <v>207</v>
      </c>
      <c r="D35" s="205">
        <v>86916.615000000005</v>
      </c>
      <c r="E35" s="206">
        <v>337012.5</v>
      </c>
      <c r="F35" s="206">
        <v>323231.66666666669</v>
      </c>
      <c r="G35" s="206">
        <v>363195</v>
      </c>
      <c r="H35" s="206">
        <v>4138320</v>
      </c>
      <c r="I35" s="206">
        <f t="shared" si="0"/>
        <v>5248675.7816666663</v>
      </c>
      <c r="J35" s="18"/>
      <c r="K35" s="18"/>
    </row>
    <row r="36" spans="2:11" x14ac:dyDescent="0.2">
      <c r="B36" s="234">
        <v>2013</v>
      </c>
      <c r="C36" s="207" t="s">
        <v>204</v>
      </c>
      <c r="D36" s="202">
        <v>89014.84</v>
      </c>
      <c r="E36" s="208">
        <v>391693.33333333337</v>
      </c>
      <c r="F36" s="208">
        <v>279467.5</v>
      </c>
      <c r="G36" s="208">
        <v>380061.66666666669</v>
      </c>
      <c r="H36" s="208">
        <v>4390571.666666667</v>
      </c>
      <c r="I36" s="208">
        <f t="shared" si="0"/>
        <v>5530809.0066666668</v>
      </c>
      <c r="J36" s="18"/>
      <c r="K36" s="18"/>
    </row>
    <row r="37" spans="2:11" x14ac:dyDescent="0.2">
      <c r="B37" s="234"/>
      <c r="C37" s="130" t="s">
        <v>205</v>
      </c>
      <c r="D37" s="203">
        <v>87228.986999999994</v>
      </c>
      <c r="E37" s="198">
        <v>444897.5</v>
      </c>
      <c r="F37" s="198">
        <v>271846.66666666669</v>
      </c>
      <c r="G37" s="198">
        <v>348155</v>
      </c>
      <c r="H37" s="198">
        <v>4156541.666666667</v>
      </c>
      <c r="I37" s="198">
        <f t="shared" si="0"/>
        <v>5308669.8203333337</v>
      </c>
      <c r="J37" s="18"/>
      <c r="K37" s="18"/>
    </row>
    <row r="38" spans="2:11" x14ac:dyDescent="0.2">
      <c r="B38" s="234"/>
      <c r="C38" s="130" t="s">
        <v>206</v>
      </c>
      <c r="D38" s="203">
        <v>88798.201000000001</v>
      </c>
      <c r="E38" s="198">
        <v>422332.5</v>
      </c>
      <c r="F38" s="198">
        <v>264407.5</v>
      </c>
      <c r="G38" s="198">
        <v>345059.16666666669</v>
      </c>
      <c r="H38" s="198">
        <v>4144666.666666667</v>
      </c>
      <c r="I38" s="198">
        <f t="shared" si="0"/>
        <v>5265264.0343333334</v>
      </c>
      <c r="J38" s="18"/>
      <c r="K38" s="18"/>
    </row>
    <row r="39" spans="2:11" x14ac:dyDescent="0.2">
      <c r="B39" s="234"/>
      <c r="C39" s="204" t="s">
        <v>207</v>
      </c>
      <c r="D39" s="205">
        <v>96176.724000000002</v>
      </c>
      <c r="E39" s="206">
        <v>403081.66666666669</v>
      </c>
      <c r="F39" s="206">
        <v>268218.33333333337</v>
      </c>
      <c r="G39" s="206">
        <v>339165.83333333337</v>
      </c>
      <c r="H39" s="206">
        <v>4781756.666666667</v>
      </c>
      <c r="I39" s="206">
        <f t="shared" si="0"/>
        <v>5888399.2240000004</v>
      </c>
      <c r="J39" s="18"/>
      <c r="K39" s="18"/>
    </row>
    <row r="40" spans="2:11" x14ac:dyDescent="0.2">
      <c r="B40" s="234">
        <v>2014</v>
      </c>
      <c r="C40" s="207" t="s">
        <v>204</v>
      </c>
      <c r="D40" s="202">
        <v>91720.222999999998</v>
      </c>
      <c r="E40" s="208">
        <v>447365.83333333337</v>
      </c>
      <c r="F40" s="208">
        <v>277409.16666666669</v>
      </c>
      <c r="G40" s="208">
        <v>419081.66666666669</v>
      </c>
      <c r="H40" s="208">
        <v>4415331.666666667</v>
      </c>
      <c r="I40" s="208">
        <f t="shared" si="0"/>
        <v>5650908.5563333333</v>
      </c>
      <c r="J40" s="18"/>
      <c r="K40" s="18"/>
    </row>
    <row r="41" spans="2:11" x14ac:dyDescent="0.2">
      <c r="B41" s="234"/>
      <c r="C41" s="130" t="s">
        <v>205</v>
      </c>
      <c r="D41" s="203">
        <v>91720.11</v>
      </c>
      <c r="E41" s="198">
        <v>457479.16666666669</v>
      </c>
      <c r="F41" s="198">
        <v>286904.16666666669</v>
      </c>
      <c r="G41" s="198">
        <v>401077.5</v>
      </c>
      <c r="H41" s="198">
        <v>4120774.166666667</v>
      </c>
      <c r="I41" s="198">
        <f t="shared" si="0"/>
        <v>5357955.1100000003</v>
      </c>
      <c r="J41" s="18"/>
      <c r="K41" s="18"/>
    </row>
    <row r="42" spans="2:11" x14ac:dyDescent="0.2">
      <c r="B42" s="234"/>
      <c r="C42" s="130" t="s">
        <v>206</v>
      </c>
      <c r="D42" s="203">
        <v>89496.654999999999</v>
      </c>
      <c r="E42" s="198">
        <v>420239.16666666669</v>
      </c>
      <c r="F42" s="198">
        <v>279714.16666666669</v>
      </c>
      <c r="G42" s="198">
        <v>401093.33333333337</v>
      </c>
      <c r="H42" s="198">
        <v>3949764.166666667</v>
      </c>
      <c r="I42" s="198">
        <f t="shared" si="0"/>
        <v>5140307.4883333333</v>
      </c>
      <c r="J42" s="18"/>
      <c r="K42" s="18"/>
    </row>
    <row r="43" spans="2:11" x14ac:dyDescent="0.2">
      <c r="B43" s="234"/>
      <c r="C43" s="204" t="s">
        <v>207</v>
      </c>
      <c r="D43" s="205">
        <v>95503.104000000007</v>
      </c>
      <c r="E43" s="206">
        <v>460587.5</v>
      </c>
      <c r="F43" s="206">
        <v>276093.33333333337</v>
      </c>
      <c r="G43" s="206">
        <v>376867.5</v>
      </c>
      <c r="H43" s="206">
        <v>3723344.166666667</v>
      </c>
      <c r="I43" s="206">
        <f t="shared" si="0"/>
        <v>4932395.6040000003</v>
      </c>
      <c r="J43" s="18"/>
      <c r="K43" s="18"/>
    </row>
    <row r="44" spans="2:11" x14ac:dyDescent="0.2">
      <c r="B44" s="234">
        <v>2015</v>
      </c>
      <c r="C44" s="207" t="s">
        <v>204</v>
      </c>
      <c r="D44" s="202">
        <v>92958.875</v>
      </c>
      <c r="E44" s="208">
        <v>477789.16666666669</v>
      </c>
      <c r="F44" s="208">
        <v>282445</v>
      </c>
      <c r="G44" s="208">
        <v>480488.33333333337</v>
      </c>
      <c r="H44" s="208">
        <v>3573590.8333333335</v>
      </c>
      <c r="I44" s="208">
        <f t="shared" si="0"/>
        <v>4907272.208333334</v>
      </c>
      <c r="J44" s="18"/>
      <c r="K44" s="18"/>
    </row>
    <row r="45" spans="2:11" x14ac:dyDescent="0.2">
      <c r="B45" s="234"/>
      <c r="C45" s="130" t="s">
        <v>205</v>
      </c>
      <c r="D45" s="203">
        <v>94887.129000000001</v>
      </c>
      <c r="E45" s="198">
        <v>487415</v>
      </c>
      <c r="F45" s="198">
        <v>286705.83333333337</v>
      </c>
      <c r="G45" s="198">
        <v>451686.66666666669</v>
      </c>
      <c r="H45" s="198">
        <v>3695712.5</v>
      </c>
      <c r="I45" s="198">
        <f t="shared" si="0"/>
        <v>5016407.1289999997</v>
      </c>
      <c r="J45" s="18"/>
      <c r="K45" s="18"/>
    </row>
    <row r="46" spans="2:11" x14ac:dyDescent="0.2">
      <c r="B46" s="234"/>
      <c r="C46" s="130" t="s">
        <v>206</v>
      </c>
      <c r="D46" s="203">
        <v>99743.339000000007</v>
      </c>
      <c r="E46" s="198">
        <v>457055</v>
      </c>
      <c r="F46" s="198">
        <v>291713.33333333337</v>
      </c>
      <c r="G46" s="198">
        <v>414801.66666666669</v>
      </c>
      <c r="H46" s="198">
        <v>4190890</v>
      </c>
      <c r="I46" s="198">
        <f t="shared" si="0"/>
        <v>5454203.3389999997</v>
      </c>
      <c r="J46" s="18"/>
      <c r="K46" s="18"/>
    </row>
    <row r="47" spans="2:11" x14ac:dyDescent="0.2">
      <c r="B47" s="234"/>
      <c r="C47" s="204" t="s">
        <v>207</v>
      </c>
      <c r="D47" s="205">
        <v>107707.05899999999</v>
      </c>
      <c r="E47" s="206">
        <v>505260</v>
      </c>
      <c r="F47" s="206">
        <v>304016.66666666669</v>
      </c>
      <c r="G47" s="206">
        <v>477547.5</v>
      </c>
      <c r="H47" s="206">
        <v>4503429.166666667</v>
      </c>
      <c r="I47" s="206">
        <f t="shared" si="0"/>
        <v>5897960.3923333334</v>
      </c>
      <c r="J47" s="18"/>
      <c r="K47" s="18"/>
    </row>
    <row r="48" spans="2:11" x14ac:dyDescent="0.2">
      <c r="B48" s="234">
        <v>2016</v>
      </c>
      <c r="C48" s="207" t="s">
        <v>204</v>
      </c>
      <c r="D48" s="202">
        <v>104708.12300000001</v>
      </c>
      <c r="E48" s="208">
        <v>533928.33333333337</v>
      </c>
      <c r="F48" s="208">
        <v>306228.33333333337</v>
      </c>
      <c r="G48" s="208">
        <v>487378.33333333337</v>
      </c>
      <c r="H48" s="208">
        <v>4686085.833333334</v>
      </c>
      <c r="I48" s="208">
        <f t="shared" si="0"/>
        <v>6118328.9563333336</v>
      </c>
      <c r="J48" s="18"/>
      <c r="K48" s="18"/>
    </row>
    <row r="49" spans="2:11" x14ac:dyDescent="0.2">
      <c r="B49" s="234"/>
      <c r="C49" s="130" t="s">
        <v>205</v>
      </c>
      <c r="D49" s="203">
        <v>106876.46799999999</v>
      </c>
      <c r="E49" s="198">
        <v>570787.5</v>
      </c>
      <c r="F49" s="198">
        <v>308349.16666666669</v>
      </c>
      <c r="G49" s="198">
        <v>467288.33333333337</v>
      </c>
      <c r="H49" s="198">
        <v>4448191.666666667</v>
      </c>
      <c r="I49" s="198">
        <f t="shared" si="0"/>
        <v>5901493.1346666664</v>
      </c>
      <c r="J49" s="18"/>
      <c r="K49" s="18"/>
    </row>
    <row r="50" spans="2:11" x14ac:dyDescent="0.2">
      <c r="B50" s="234"/>
      <c r="C50" s="130" t="s">
        <v>206</v>
      </c>
      <c r="D50" s="203">
        <v>109081.505</v>
      </c>
      <c r="E50" s="198">
        <v>567085</v>
      </c>
      <c r="F50" s="198">
        <v>315162.5</v>
      </c>
      <c r="G50" s="198">
        <v>451237.5</v>
      </c>
      <c r="H50" s="198">
        <v>4391359.166666667</v>
      </c>
      <c r="I50" s="198">
        <f t="shared" si="0"/>
        <v>5833925.6716666669</v>
      </c>
      <c r="J50" s="18"/>
      <c r="K50" s="18"/>
    </row>
    <row r="51" spans="2:11" x14ac:dyDescent="0.2">
      <c r="B51" s="234"/>
      <c r="C51" s="204" t="s">
        <v>207</v>
      </c>
      <c r="D51" s="205">
        <v>115635.374</v>
      </c>
      <c r="E51" s="206">
        <v>595925</v>
      </c>
      <c r="F51" s="206">
        <v>323910.83333333337</v>
      </c>
      <c r="G51" s="206">
        <v>498855</v>
      </c>
      <c r="H51" s="206">
        <v>4620959.166666667</v>
      </c>
      <c r="I51" s="206">
        <f t="shared" si="0"/>
        <v>6155285.3739999998</v>
      </c>
      <c r="J51" s="18"/>
      <c r="K51" s="18"/>
    </row>
    <row r="53" spans="2:11" x14ac:dyDescent="0.2">
      <c r="B53" s="209" t="s">
        <v>235</v>
      </c>
    </row>
  </sheetData>
  <mergeCells count="17">
    <mergeCell ref="B48:B51"/>
    <mergeCell ref="D7:I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D2:I2"/>
    <mergeCell ref="D3:I3"/>
    <mergeCell ref="D4:E5"/>
    <mergeCell ref="I4:I6"/>
    <mergeCell ref="F4:H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55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3</xdr:row>
                <xdr:rowOff>152400</xdr:rowOff>
              </to>
            </anchor>
          </objectPr>
        </oleObject>
      </mc:Choice>
      <mc:Fallback>
        <oleObject progId="MSPhotoEd.3" shapeId="40550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53"/>
  <sheetViews>
    <sheetView zoomScaleNormal="100" workbookViewId="0">
      <selection activeCell="N13" sqref="N13"/>
    </sheetView>
  </sheetViews>
  <sheetFormatPr defaultRowHeight="12.75" x14ac:dyDescent="0.2"/>
  <cols>
    <col min="1" max="3" width="9.140625" style="17"/>
    <col min="4" max="4" width="11.5703125" style="17" customWidth="1"/>
    <col min="5" max="5" width="10.85546875" style="17" customWidth="1"/>
    <col min="6" max="6" width="12" style="17" customWidth="1"/>
    <col min="7" max="7" width="10.28515625" style="17" customWidth="1"/>
    <col min="8" max="8" width="14.5703125" style="17" customWidth="1"/>
    <col min="9" max="9" width="11.42578125" style="17" customWidth="1"/>
    <col min="10" max="10" width="10.5703125" style="17" customWidth="1"/>
    <col min="11" max="12" width="9.140625" style="17"/>
    <col min="13" max="13" width="10.42578125" style="17" bestFit="1" customWidth="1"/>
    <col min="14" max="16384" width="9.140625" style="17"/>
  </cols>
  <sheetData>
    <row r="2" spans="2:13" ht="15" x14ac:dyDescent="0.25">
      <c r="D2" s="218" t="s">
        <v>242</v>
      </c>
      <c r="E2" s="218"/>
      <c r="F2" s="218"/>
      <c r="G2" s="218"/>
      <c r="H2" s="218"/>
      <c r="I2" s="218"/>
    </row>
    <row r="4" spans="2:13" x14ac:dyDescent="0.2">
      <c r="D4" s="246" t="s">
        <v>223</v>
      </c>
      <c r="E4" s="247"/>
      <c r="F4" s="247"/>
      <c r="G4" s="247"/>
      <c r="H4" s="247"/>
      <c r="I4" s="247"/>
      <c r="J4" s="248"/>
    </row>
    <row r="5" spans="2:13" x14ac:dyDescent="0.2">
      <c r="D5" s="235" t="s">
        <v>217</v>
      </c>
      <c r="E5" s="235"/>
      <c r="F5" s="235"/>
      <c r="G5" s="235"/>
      <c r="H5" s="235" t="s">
        <v>218</v>
      </c>
      <c r="I5" s="235"/>
      <c r="J5" s="236" t="s">
        <v>142</v>
      </c>
    </row>
    <row r="6" spans="2:13" ht="51" x14ac:dyDescent="0.2">
      <c r="D6" s="211" t="s">
        <v>44</v>
      </c>
      <c r="E6" s="211" t="s">
        <v>219</v>
      </c>
      <c r="F6" s="211" t="s">
        <v>224</v>
      </c>
      <c r="G6" s="211" t="s">
        <v>220</v>
      </c>
      <c r="H6" s="211" t="s">
        <v>221</v>
      </c>
      <c r="I6" s="212" t="s">
        <v>222</v>
      </c>
      <c r="J6" s="236"/>
    </row>
    <row r="7" spans="2:13" x14ac:dyDescent="0.2">
      <c r="C7" s="201"/>
      <c r="D7" s="220" t="s">
        <v>209</v>
      </c>
      <c r="E7" s="220"/>
      <c r="F7" s="220"/>
      <c r="G7" s="220"/>
      <c r="H7" s="220"/>
      <c r="I7" s="220"/>
      <c r="J7" s="220"/>
    </row>
    <row r="8" spans="2:13" x14ac:dyDescent="0.2">
      <c r="B8" s="234">
        <v>2006</v>
      </c>
      <c r="C8" s="207" t="s">
        <v>204</v>
      </c>
      <c r="D8" s="202">
        <v>1904125.8333333335</v>
      </c>
      <c r="E8" s="208">
        <v>664158.33333333337</v>
      </c>
      <c r="F8" s="208">
        <v>2188463.3333333335</v>
      </c>
      <c r="G8" s="208">
        <v>606851.66666666674</v>
      </c>
      <c r="H8" s="208">
        <v>1160519.1666666667</v>
      </c>
      <c r="I8" s="208">
        <v>178570.83333333334</v>
      </c>
      <c r="J8" s="213">
        <f>D8+E8+F8+G8-H8-I8</f>
        <v>4024509.1666666665</v>
      </c>
      <c r="M8" s="18"/>
    </row>
    <row r="9" spans="2:13" x14ac:dyDescent="0.2">
      <c r="B9" s="234"/>
      <c r="C9" s="130" t="s">
        <v>205</v>
      </c>
      <c r="D9" s="203">
        <v>1706730.8333333335</v>
      </c>
      <c r="E9" s="198">
        <v>685272.5</v>
      </c>
      <c r="F9" s="198">
        <v>1932255.8333333335</v>
      </c>
      <c r="G9" s="198">
        <v>1299734.1666666667</v>
      </c>
      <c r="H9" s="198">
        <v>1112460</v>
      </c>
      <c r="I9" s="198">
        <v>118750.83333333334</v>
      </c>
      <c r="J9" s="175">
        <f t="shared" ref="J9:J51" si="0">D9+E9+F9+G9-H9-I9</f>
        <v>4392782.5000000009</v>
      </c>
      <c r="M9" s="18"/>
    </row>
    <row r="10" spans="2:13" x14ac:dyDescent="0.2">
      <c r="B10" s="234"/>
      <c r="C10" s="130" t="s">
        <v>206</v>
      </c>
      <c r="D10" s="203">
        <v>3389826.666666667</v>
      </c>
      <c r="E10" s="198">
        <v>641530</v>
      </c>
      <c r="F10" s="198">
        <v>2715</v>
      </c>
      <c r="G10" s="198">
        <v>1284187.5</v>
      </c>
      <c r="H10" s="198">
        <v>1090727.5</v>
      </c>
      <c r="I10" s="198">
        <v>255804.16666666669</v>
      </c>
      <c r="J10" s="175">
        <f t="shared" si="0"/>
        <v>3971727.5000000005</v>
      </c>
      <c r="M10" s="18"/>
    </row>
    <row r="11" spans="2:13" x14ac:dyDescent="0.2">
      <c r="B11" s="234"/>
      <c r="C11" s="204" t="s">
        <v>207</v>
      </c>
      <c r="D11" s="205">
        <v>3823992.5</v>
      </c>
      <c r="E11" s="206">
        <v>1358150</v>
      </c>
      <c r="F11" s="206">
        <v>90686.666666666672</v>
      </c>
      <c r="G11" s="206">
        <v>1213384.1666666667</v>
      </c>
      <c r="H11" s="206">
        <v>1117210</v>
      </c>
      <c r="I11" s="206">
        <v>677280</v>
      </c>
      <c r="J11" s="214">
        <f t="shared" si="0"/>
        <v>4691723.333333334</v>
      </c>
      <c r="M11" s="18"/>
    </row>
    <row r="12" spans="2:13" x14ac:dyDescent="0.2">
      <c r="B12" s="234">
        <v>2007</v>
      </c>
      <c r="C12" s="207" t="s">
        <v>204</v>
      </c>
      <c r="D12" s="202">
        <v>4175835</v>
      </c>
      <c r="E12" s="208">
        <v>1487115</v>
      </c>
      <c r="F12" s="208">
        <v>0</v>
      </c>
      <c r="G12" s="208">
        <v>1406937.5</v>
      </c>
      <c r="H12" s="208">
        <v>1069687.5</v>
      </c>
      <c r="I12" s="208">
        <v>513035</v>
      </c>
      <c r="J12" s="213">
        <f t="shared" si="0"/>
        <v>5487165</v>
      </c>
      <c r="M12" s="18"/>
    </row>
    <row r="13" spans="2:13" x14ac:dyDescent="0.2">
      <c r="B13" s="234"/>
      <c r="C13" s="130" t="s">
        <v>205</v>
      </c>
      <c r="D13" s="203">
        <v>4313175</v>
      </c>
      <c r="E13" s="198">
        <v>1712885.8333333335</v>
      </c>
      <c r="F13" s="198">
        <v>0</v>
      </c>
      <c r="G13" s="198">
        <v>1420726.6666666667</v>
      </c>
      <c r="H13" s="198">
        <v>1353752.5</v>
      </c>
      <c r="I13" s="198">
        <v>513214.16666666669</v>
      </c>
      <c r="J13" s="175">
        <f t="shared" si="0"/>
        <v>5579820.833333334</v>
      </c>
      <c r="M13" s="18"/>
    </row>
    <row r="14" spans="2:13" x14ac:dyDescent="0.2">
      <c r="B14" s="234"/>
      <c r="C14" s="130" t="s">
        <v>206</v>
      </c>
      <c r="D14" s="203">
        <v>3939891.666666667</v>
      </c>
      <c r="E14" s="198">
        <v>1801493.3333333335</v>
      </c>
      <c r="F14" s="198">
        <v>0</v>
      </c>
      <c r="G14" s="198">
        <v>1411459.1666666667</v>
      </c>
      <c r="H14" s="198">
        <v>3101539.166666667</v>
      </c>
      <c r="I14" s="198">
        <v>490736.66666666669</v>
      </c>
      <c r="J14" s="175">
        <f t="shared" si="0"/>
        <v>3560568.3333333335</v>
      </c>
      <c r="M14" s="18"/>
    </row>
    <row r="15" spans="2:13" x14ac:dyDescent="0.2">
      <c r="B15" s="234"/>
      <c r="C15" s="204" t="s">
        <v>207</v>
      </c>
      <c r="D15" s="205">
        <v>3888950.8333333335</v>
      </c>
      <c r="E15" s="206">
        <v>1449358.3333333335</v>
      </c>
      <c r="F15" s="206">
        <v>0</v>
      </c>
      <c r="G15" s="206">
        <v>1417380.8333333335</v>
      </c>
      <c r="H15" s="206">
        <v>2934461.666666667</v>
      </c>
      <c r="I15" s="206">
        <v>91541.666666666672</v>
      </c>
      <c r="J15" s="214">
        <f t="shared" si="0"/>
        <v>3729686.6666666665</v>
      </c>
      <c r="M15" s="18"/>
    </row>
    <row r="16" spans="2:13" x14ac:dyDescent="0.2">
      <c r="B16" s="234">
        <v>2008</v>
      </c>
      <c r="C16" s="207" t="s">
        <v>204</v>
      </c>
      <c r="D16" s="202">
        <v>4494671.666666667</v>
      </c>
      <c r="E16" s="208">
        <v>1312848.3333333335</v>
      </c>
      <c r="F16" s="208">
        <v>0</v>
      </c>
      <c r="G16" s="208">
        <v>1766520.8333333335</v>
      </c>
      <c r="H16" s="208">
        <v>3482681.666666667</v>
      </c>
      <c r="I16" s="208">
        <v>127300.83333333334</v>
      </c>
      <c r="J16" s="213">
        <f t="shared" si="0"/>
        <v>3964058.3333333335</v>
      </c>
      <c r="M16" s="18"/>
    </row>
    <row r="17" spans="2:13" x14ac:dyDescent="0.2">
      <c r="B17" s="234"/>
      <c r="C17" s="130" t="s">
        <v>205</v>
      </c>
      <c r="D17" s="203">
        <v>4112297.5</v>
      </c>
      <c r="E17" s="198">
        <v>1530820.8333333335</v>
      </c>
      <c r="F17" s="198">
        <v>0</v>
      </c>
      <c r="G17" s="198">
        <v>1642533.3333333335</v>
      </c>
      <c r="H17" s="198">
        <v>3929444.166666667</v>
      </c>
      <c r="I17" s="198">
        <v>175993.33333333334</v>
      </c>
      <c r="J17" s="175">
        <f t="shared" si="0"/>
        <v>3180214.1666666674</v>
      </c>
      <c r="M17" s="18"/>
    </row>
    <row r="18" spans="2:13" x14ac:dyDescent="0.2">
      <c r="B18" s="234"/>
      <c r="C18" s="130" t="s">
        <v>206</v>
      </c>
      <c r="D18" s="203">
        <v>3524282.5</v>
      </c>
      <c r="E18" s="198">
        <v>1576525.8333333335</v>
      </c>
      <c r="F18" s="198">
        <v>0</v>
      </c>
      <c r="G18" s="198">
        <v>1624015</v>
      </c>
      <c r="H18" s="198">
        <v>3750563.3333333335</v>
      </c>
      <c r="I18" s="198">
        <v>51820.833333333336</v>
      </c>
      <c r="J18" s="175">
        <f t="shared" si="0"/>
        <v>2922439.166666667</v>
      </c>
      <c r="M18" s="18"/>
    </row>
    <row r="19" spans="2:13" x14ac:dyDescent="0.2">
      <c r="B19" s="234"/>
      <c r="C19" s="204" t="s">
        <v>207</v>
      </c>
      <c r="D19" s="205">
        <v>4450762.5</v>
      </c>
      <c r="E19" s="206">
        <v>1427841.6666666667</v>
      </c>
      <c r="F19" s="206">
        <v>0</v>
      </c>
      <c r="G19" s="206">
        <v>1552128.3333333335</v>
      </c>
      <c r="H19" s="206">
        <v>3732739.166666667</v>
      </c>
      <c r="I19" s="206">
        <v>220486.66666666669</v>
      </c>
      <c r="J19" s="214">
        <f t="shared" si="0"/>
        <v>3477506.6666666665</v>
      </c>
      <c r="M19" s="18"/>
    </row>
    <row r="20" spans="2:13" x14ac:dyDescent="0.2">
      <c r="B20" s="234">
        <v>2009</v>
      </c>
      <c r="C20" s="207" t="s">
        <v>204</v>
      </c>
      <c r="D20" s="202">
        <v>4799843.333333334</v>
      </c>
      <c r="E20" s="208">
        <v>1285067.5</v>
      </c>
      <c r="F20" s="208">
        <v>0</v>
      </c>
      <c r="G20" s="208">
        <v>1536618.3333333335</v>
      </c>
      <c r="H20" s="208">
        <v>1693250.8333333335</v>
      </c>
      <c r="I20" s="208">
        <v>193405.83333333334</v>
      </c>
      <c r="J20" s="213">
        <f t="shared" si="0"/>
        <v>5734872.5000000009</v>
      </c>
      <c r="M20" s="18"/>
    </row>
    <row r="21" spans="2:13" x14ac:dyDescent="0.2">
      <c r="B21" s="234"/>
      <c r="C21" s="130" t="s">
        <v>205</v>
      </c>
      <c r="D21" s="203">
        <v>3712179.166666667</v>
      </c>
      <c r="E21" s="198">
        <v>1266222.5</v>
      </c>
      <c r="F21" s="198">
        <v>0</v>
      </c>
      <c r="G21" s="198">
        <v>1543071.6666666667</v>
      </c>
      <c r="H21" s="198">
        <v>2874517.5</v>
      </c>
      <c r="I21" s="198">
        <v>151374.16666666669</v>
      </c>
      <c r="J21" s="175">
        <f t="shared" si="0"/>
        <v>3495581.6666666674</v>
      </c>
      <c r="M21" s="18"/>
    </row>
    <row r="22" spans="2:13" x14ac:dyDescent="0.2">
      <c r="B22" s="234"/>
      <c r="C22" s="130" t="s">
        <v>206</v>
      </c>
      <c r="D22" s="203">
        <v>3268181.666666667</v>
      </c>
      <c r="E22" s="198">
        <v>1250620</v>
      </c>
      <c r="F22" s="198">
        <v>0</v>
      </c>
      <c r="G22" s="198">
        <v>1535733.3333333335</v>
      </c>
      <c r="H22" s="198">
        <v>2741505.8333333335</v>
      </c>
      <c r="I22" s="198">
        <v>102241.66666666667</v>
      </c>
      <c r="J22" s="175">
        <f t="shared" si="0"/>
        <v>3210787.5</v>
      </c>
      <c r="M22" s="18"/>
    </row>
    <row r="23" spans="2:13" x14ac:dyDescent="0.2">
      <c r="B23" s="234"/>
      <c r="C23" s="204" t="s">
        <v>207</v>
      </c>
      <c r="D23" s="205">
        <v>3923204.166666667</v>
      </c>
      <c r="E23" s="206">
        <v>1170871.6666666667</v>
      </c>
      <c r="F23" s="206">
        <v>0</v>
      </c>
      <c r="G23" s="206">
        <v>1536805.8333333335</v>
      </c>
      <c r="H23" s="206">
        <v>2677936.666666667</v>
      </c>
      <c r="I23" s="206">
        <v>72260</v>
      </c>
      <c r="J23" s="214">
        <f t="shared" si="0"/>
        <v>3880685.0000000009</v>
      </c>
      <c r="M23" s="18"/>
    </row>
    <row r="24" spans="2:13" x14ac:dyDescent="0.2">
      <c r="B24" s="234">
        <v>2010</v>
      </c>
      <c r="C24" s="207" t="s">
        <v>204</v>
      </c>
      <c r="D24" s="202">
        <v>4175211.666666667</v>
      </c>
      <c r="E24" s="208">
        <v>929847.5</v>
      </c>
      <c r="F24" s="208">
        <v>0</v>
      </c>
      <c r="G24" s="208">
        <v>1503586.6666666667</v>
      </c>
      <c r="H24" s="208">
        <v>2686735</v>
      </c>
      <c r="I24" s="208">
        <v>26385.833333333336</v>
      </c>
      <c r="J24" s="213">
        <f t="shared" si="0"/>
        <v>3895525.0000000005</v>
      </c>
      <c r="M24" s="18"/>
    </row>
    <row r="25" spans="2:13" x14ac:dyDescent="0.2">
      <c r="B25" s="234"/>
      <c r="C25" s="130" t="s">
        <v>205</v>
      </c>
      <c r="D25" s="203">
        <v>4272316.666666667</v>
      </c>
      <c r="E25" s="198">
        <v>724385.83333333337</v>
      </c>
      <c r="F25" s="198">
        <v>0</v>
      </c>
      <c r="G25" s="198">
        <v>1486119.1666666667</v>
      </c>
      <c r="H25" s="198">
        <v>2561280</v>
      </c>
      <c r="I25" s="198">
        <v>53887.5</v>
      </c>
      <c r="J25" s="175">
        <f t="shared" si="0"/>
        <v>3867654.166666667</v>
      </c>
      <c r="M25" s="18"/>
    </row>
    <row r="26" spans="2:13" x14ac:dyDescent="0.2">
      <c r="B26" s="234"/>
      <c r="C26" s="130" t="s">
        <v>206</v>
      </c>
      <c r="D26" s="203">
        <v>3791745</v>
      </c>
      <c r="E26" s="198">
        <v>705980</v>
      </c>
      <c r="F26" s="198">
        <v>0</v>
      </c>
      <c r="G26" s="198">
        <v>1515468.3333333335</v>
      </c>
      <c r="H26" s="198">
        <v>3020530.8333333335</v>
      </c>
      <c r="I26" s="198">
        <v>35038.333333333336</v>
      </c>
      <c r="J26" s="175">
        <f t="shared" si="0"/>
        <v>2957624.166666667</v>
      </c>
      <c r="M26" s="18"/>
    </row>
    <row r="27" spans="2:13" x14ac:dyDescent="0.2">
      <c r="B27" s="234"/>
      <c r="C27" s="204" t="s">
        <v>207</v>
      </c>
      <c r="D27" s="205">
        <v>3785755</v>
      </c>
      <c r="E27" s="206">
        <v>906695.83333333337</v>
      </c>
      <c r="F27" s="206">
        <v>0</v>
      </c>
      <c r="G27" s="206">
        <v>1447627.5</v>
      </c>
      <c r="H27" s="206">
        <v>3076216.666666667</v>
      </c>
      <c r="I27" s="206">
        <v>96757.5</v>
      </c>
      <c r="J27" s="214">
        <f t="shared" si="0"/>
        <v>2967104.166666666</v>
      </c>
      <c r="M27" s="18"/>
    </row>
    <row r="28" spans="2:13" x14ac:dyDescent="0.2">
      <c r="B28" s="234">
        <v>2011</v>
      </c>
      <c r="C28" s="207" t="s">
        <v>204</v>
      </c>
      <c r="D28" s="202">
        <v>3720106.666666667</v>
      </c>
      <c r="E28" s="208">
        <v>1018179.1666666667</v>
      </c>
      <c r="F28" s="208">
        <v>0</v>
      </c>
      <c r="G28" s="208">
        <v>1641586.6666666667</v>
      </c>
      <c r="H28" s="208">
        <v>2956240.8333333335</v>
      </c>
      <c r="I28" s="208">
        <v>123165.83333333334</v>
      </c>
      <c r="J28" s="213">
        <f t="shared" si="0"/>
        <v>3300465.833333334</v>
      </c>
      <c r="M28" s="18"/>
    </row>
    <row r="29" spans="2:13" x14ac:dyDescent="0.2">
      <c r="B29" s="234"/>
      <c r="C29" s="130" t="s">
        <v>205</v>
      </c>
      <c r="D29" s="203">
        <v>3612025</v>
      </c>
      <c r="E29" s="198">
        <v>938739.16666666674</v>
      </c>
      <c r="F29" s="198">
        <v>0</v>
      </c>
      <c r="G29" s="198">
        <v>1635760</v>
      </c>
      <c r="H29" s="198">
        <v>3038579.166666667</v>
      </c>
      <c r="I29" s="198">
        <v>129507.5</v>
      </c>
      <c r="J29" s="175">
        <f t="shared" si="0"/>
        <v>3018437.5</v>
      </c>
      <c r="M29" s="18"/>
    </row>
    <row r="30" spans="2:13" x14ac:dyDescent="0.2">
      <c r="B30" s="234"/>
      <c r="C30" s="130" t="s">
        <v>206</v>
      </c>
      <c r="D30" s="203">
        <v>3428671.666666667</v>
      </c>
      <c r="E30" s="198">
        <v>907965.83333333337</v>
      </c>
      <c r="F30" s="198">
        <v>0</v>
      </c>
      <c r="G30" s="198">
        <v>1668207.5</v>
      </c>
      <c r="H30" s="198">
        <v>3070344.166666667</v>
      </c>
      <c r="I30" s="198">
        <v>103888.33333333334</v>
      </c>
      <c r="J30" s="175">
        <f t="shared" si="0"/>
        <v>2830612.4999999995</v>
      </c>
      <c r="M30" s="18"/>
    </row>
    <row r="31" spans="2:13" x14ac:dyDescent="0.2">
      <c r="B31" s="234"/>
      <c r="C31" s="204" t="s">
        <v>207</v>
      </c>
      <c r="D31" s="205">
        <v>3569237.5</v>
      </c>
      <c r="E31" s="206">
        <v>963320.83333333337</v>
      </c>
      <c r="F31" s="206">
        <v>0</v>
      </c>
      <c r="G31" s="206">
        <v>1517171.6666666667</v>
      </c>
      <c r="H31" s="206">
        <v>3580238.3333333335</v>
      </c>
      <c r="I31" s="206">
        <v>117380.83333333334</v>
      </c>
      <c r="J31" s="214">
        <f t="shared" si="0"/>
        <v>2352110.833333333</v>
      </c>
      <c r="M31" s="18"/>
    </row>
    <row r="32" spans="2:13" x14ac:dyDescent="0.2">
      <c r="B32" s="234">
        <v>2012</v>
      </c>
      <c r="C32" s="207" t="s">
        <v>204</v>
      </c>
      <c r="D32" s="202">
        <v>3670687.5</v>
      </c>
      <c r="E32" s="208">
        <v>1041317.5</v>
      </c>
      <c r="F32" s="208">
        <v>0</v>
      </c>
      <c r="G32" s="208">
        <v>1511430.8333333335</v>
      </c>
      <c r="H32" s="208">
        <v>3396112.5</v>
      </c>
      <c r="I32" s="208">
        <v>185656.66666666669</v>
      </c>
      <c r="J32" s="213">
        <f t="shared" si="0"/>
        <v>2641666.6666666674</v>
      </c>
      <c r="M32" s="18"/>
    </row>
    <row r="33" spans="2:13" x14ac:dyDescent="0.2">
      <c r="B33" s="234"/>
      <c r="C33" s="130" t="s">
        <v>205</v>
      </c>
      <c r="D33" s="203">
        <v>3860611.666666667</v>
      </c>
      <c r="E33" s="198">
        <v>895134.16666666674</v>
      </c>
      <c r="F33" s="198">
        <v>0</v>
      </c>
      <c r="G33" s="198">
        <v>1360091.6666666667</v>
      </c>
      <c r="H33" s="198">
        <v>3216194.166666667</v>
      </c>
      <c r="I33" s="198">
        <v>153686.66666666669</v>
      </c>
      <c r="J33" s="175">
        <f t="shared" si="0"/>
        <v>2745956.6666666674</v>
      </c>
      <c r="M33" s="18"/>
    </row>
    <row r="34" spans="2:13" x14ac:dyDescent="0.2">
      <c r="B34" s="234"/>
      <c r="C34" s="130" t="s">
        <v>206</v>
      </c>
      <c r="D34" s="203">
        <v>3743506.666666667</v>
      </c>
      <c r="E34" s="198">
        <v>987516.66666666674</v>
      </c>
      <c r="F34" s="198">
        <v>0</v>
      </c>
      <c r="G34" s="198">
        <v>1346401.6666666667</v>
      </c>
      <c r="H34" s="198">
        <v>3344095</v>
      </c>
      <c r="I34" s="198">
        <v>130575</v>
      </c>
      <c r="J34" s="175">
        <f t="shared" si="0"/>
        <v>2602755.0000000009</v>
      </c>
      <c r="M34" s="18"/>
    </row>
    <row r="35" spans="2:13" x14ac:dyDescent="0.2">
      <c r="B35" s="234"/>
      <c r="C35" s="204" t="s">
        <v>207</v>
      </c>
      <c r="D35" s="205">
        <v>4059420.8333333335</v>
      </c>
      <c r="E35" s="206">
        <v>1111483.3333333335</v>
      </c>
      <c r="F35" s="206">
        <v>0</v>
      </c>
      <c r="G35" s="206">
        <v>1273855.8333333335</v>
      </c>
      <c r="H35" s="206">
        <v>3584786.666666667</v>
      </c>
      <c r="I35" s="206">
        <v>157227.5</v>
      </c>
      <c r="J35" s="214">
        <f t="shared" si="0"/>
        <v>2702745.833333333</v>
      </c>
      <c r="M35" s="18"/>
    </row>
    <row r="36" spans="2:13" x14ac:dyDescent="0.2">
      <c r="B36" s="234">
        <v>2013</v>
      </c>
      <c r="C36" s="207" t="s">
        <v>204</v>
      </c>
      <c r="D36" s="202">
        <v>3901380</v>
      </c>
      <c r="E36" s="208">
        <v>1019280.8333333334</v>
      </c>
      <c r="F36" s="208">
        <v>0</v>
      </c>
      <c r="G36" s="208">
        <v>1299024.1666666667</v>
      </c>
      <c r="H36" s="208">
        <v>3255695</v>
      </c>
      <c r="I36" s="208">
        <v>-21784.166666666668</v>
      </c>
      <c r="J36" s="213">
        <f t="shared" si="0"/>
        <v>2985774.1666666665</v>
      </c>
      <c r="M36" s="18"/>
    </row>
    <row r="37" spans="2:13" x14ac:dyDescent="0.2">
      <c r="B37" s="234"/>
      <c r="C37" s="130" t="s">
        <v>205</v>
      </c>
      <c r="D37" s="203">
        <v>4199935</v>
      </c>
      <c r="E37" s="198">
        <v>1017837.5</v>
      </c>
      <c r="F37" s="198">
        <v>0</v>
      </c>
      <c r="G37" s="198">
        <v>716272.5</v>
      </c>
      <c r="H37" s="198">
        <v>3065187.5</v>
      </c>
      <c r="I37" s="198">
        <v>147313.33333333334</v>
      </c>
      <c r="J37" s="175">
        <f t="shared" si="0"/>
        <v>2721544.1666666665</v>
      </c>
      <c r="M37" s="18"/>
    </row>
    <row r="38" spans="2:13" x14ac:dyDescent="0.2">
      <c r="B38" s="234"/>
      <c r="C38" s="130" t="s">
        <v>206</v>
      </c>
      <c r="D38" s="203">
        <v>3809432.5</v>
      </c>
      <c r="E38" s="198">
        <v>1026665</v>
      </c>
      <c r="F38" s="198">
        <v>0</v>
      </c>
      <c r="G38" s="198">
        <v>821454.16666666674</v>
      </c>
      <c r="H38" s="198">
        <v>2795552.5</v>
      </c>
      <c r="I38" s="198">
        <v>204870</v>
      </c>
      <c r="J38" s="175">
        <f t="shared" si="0"/>
        <v>2657129.166666667</v>
      </c>
      <c r="M38" s="18"/>
    </row>
    <row r="39" spans="2:13" x14ac:dyDescent="0.2">
      <c r="B39" s="234"/>
      <c r="C39" s="204" t="s">
        <v>207</v>
      </c>
      <c r="D39" s="205">
        <v>4408251.666666667</v>
      </c>
      <c r="E39" s="206">
        <v>910260.83333333337</v>
      </c>
      <c r="F39" s="206">
        <v>0</v>
      </c>
      <c r="G39" s="206">
        <v>864035.83333333337</v>
      </c>
      <c r="H39" s="206">
        <v>2815620</v>
      </c>
      <c r="I39" s="206">
        <v>219093.33333333334</v>
      </c>
      <c r="J39" s="214">
        <f t="shared" si="0"/>
        <v>3147834.9999999995</v>
      </c>
      <c r="M39" s="18"/>
    </row>
    <row r="40" spans="2:13" x14ac:dyDescent="0.2">
      <c r="B40" s="234">
        <v>2014</v>
      </c>
      <c r="C40" s="207" t="s">
        <v>204</v>
      </c>
      <c r="D40" s="202">
        <v>3796325.8333333335</v>
      </c>
      <c r="E40" s="208">
        <v>1089310.8333333335</v>
      </c>
      <c r="F40" s="208">
        <v>0</v>
      </c>
      <c r="G40" s="208">
        <v>893534.16666666674</v>
      </c>
      <c r="H40" s="208">
        <v>2644537.5</v>
      </c>
      <c r="I40" s="208">
        <v>89350.833333333343</v>
      </c>
      <c r="J40" s="213">
        <f t="shared" si="0"/>
        <v>3045282.5000000005</v>
      </c>
      <c r="M40" s="18"/>
    </row>
    <row r="41" spans="2:13" x14ac:dyDescent="0.2">
      <c r="B41" s="234"/>
      <c r="C41" s="130" t="s">
        <v>205</v>
      </c>
      <c r="D41" s="203">
        <v>3487379.166666667</v>
      </c>
      <c r="E41" s="198">
        <v>1124953.3333333335</v>
      </c>
      <c r="F41" s="198">
        <v>0</v>
      </c>
      <c r="G41" s="198">
        <v>892127.5</v>
      </c>
      <c r="H41" s="198">
        <v>2626682.5</v>
      </c>
      <c r="I41" s="198">
        <v>177125</v>
      </c>
      <c r="J41" s="175">
        <f t="shared" si="0"/>
        <v>2700652.5</v>
      </c>
      <c r="M41" s="18"/>
    </row>
    <row r="42" spans="2:13" x14ac:dyDescent="0.2">
      <c r="B42" s="234"/>
      <c r="C42" s="130" t="s">
        <v>206</v>
      </c>
      <c r="D42" s="203">
        <v>3375290</v>
      </c>
      <c r="E42" s="198">
        <v>1191839.1666666667</v>
      </c>
      <c r="F42" s="198">
        <v>0</v>
      </c>
      <c r="G42" s="198">
        <v>827419.16666666674</v>
      </c>
      <c r="H42" s="198">
        <v>2628594.166666667</v>
      </c>
      <c r="I42" s="198">
        <v>255213.33333333334</v>
      </c>
      <c r="J42" s="175">
        <f t="shared" si="0"/>
        <v>2510740.8333333335</v>
      </c>
      <c r="M42" s="18"/>
    </row>
    <row r="43" spans="2:13" x14ac:dyDescent="0.2">
      <c r="B43" s="234"/>
      <c r="C43" s="204" t="s">
        <v>207</v>
      </c>
      <c r="D43" s="205">
        <v>2865404.166666667</v>
      </c>
      <c r="E43" s="206">
        <v>1370259.1666666667</v>
      </c>
      <c r="F43" s="206">
        <v>0</v>
      </c>
      <c r="G43" s="206">
        <v>897188.33333333337</v>
      </c>
      <c r="H43" s="206">
        <v>2806760</v>
      </c>
      <c r="I43" s="206">
        <v>144585.83333333334</v>
      </c>
      <c r="J43" s="214">
        <f t="shared" si="0"/>
        <v>2181505.8333333335</v>
      </c>
      <c r="M43" s="18"/>
    </row>
    <row r="44" spans="2:13" x14ac:dyDescent="0.2">
      <c r="B44" s="234">
        <v>2015</v>
      </c>
      <c r="C44" s="207" t="s">
        <v>204</v>
      </c>
      <c r="D44" s="202">
        <v>2963058.3333333335</v>
      </c>
      <c r="E44" s="208">
        <v>1535418.3333333335</v>
      </c>
      <c r="F44" s="208">
        <v>0</v>
      </c>
      <c r="G44" s="208">
        <v>815971.66666666674</v>
      </c>
      <c r="H44" s="208">
        <v>2906675</v>
      </c>
      <c r="I44" s="208">
        <v>204543.33333333334</v>
      </c>
      <c r="J44" s="213">
        <f t="shared" si="0"/>
        <v>2203230.0000000005</v>
      </c>
      <c r="M44" s="18"/>
    </row>
    <row r="45" spans="2:13" x14ac:dyDescent="0.2">
      <c r="B45" s="234"/>
      <c r="C45" s="130" t="s">
        <v>205</v>
      </c>
      <c r="D45" s="203">
        <v>2734237.5</v>
      </c>
      <c r="E45" s="198">
        <v>1767968.3333333335</v>
      </c>
      <c r="F45" s="198">
        <v>0</v>
      </c>
      <c r="G45" s="198">
        <v>820903.33333333337</v>
      </c>
      <c r="H45" s="198">
        <v>2797320</v>
      </c>
      <c r="I45" s="198">
        <v>273164.16666666669</v>
      </c>
      <c r="J45" s="175">
        <f t="shared" si="0"/>
        <v>2252625.0000000005</v>
      </c>
      <c r="M45" s="18"/>
    </row>
    <row r="46" spans="2:13" x14ac:dyDescent="0.2">
      <c r="B46" s="234"/>
      <c r="C46" s="130" t="s">
        <v>206</v>
      </c>
      <c r="D46" s="203">
        <v>2934567.5</v>
      </c>
      <c r="E46" s="198">
        <v>2069054.1666666667</v>
      </c>
      <c r="F46" s="198">
        <v>0</v>
      </c>
      <c r="G46" s="198">
        <v>2537550</v>
      </c>
      <c r="H46" s="198">
        <v>4168993.3333333335</v>
      </c>
      <c r="I46" s="198">
        <v>270485</v>
      </c>
      <c r="J46" s="175">
        <f t="shared" si="0"/>
        <v>3101693.3333333335</v>
      </c>
      <c r="M46" s="18"/>
    </row>
    <row r="47" spans="2:13" x14ac:dyDescent="0.2">
      <c r="B47" s="234"/>
      <c r="C47" s="204" t="s">
        <v>207</v>
      </c>
      <c r="D47" s="205">
        <v>3260790.8333333335</v>
      </c>
      <c r="E47" s="206">
        <v>2208624.166666667</v>
      </c>
      <c r="F47" s="206">
        <v>0</v>
      </c>
      <c r="G47" s="206">
        <v>2946961.666666667</v>
      </c>
      <c r="H47" s="206">
        <v>4549055.833333334</v>
      </c>
      <c r="I47" s="206">
        <v>182687.5</v>
      </c>
      <c r="J47" s="214">
        <f t="shared" si="0"/>
        <v>3684633.333333334</v>
      </c>
      <c r="M47" s="18"/>
    </row>
    <row r="48" spans="2:13" x14ac:dyDescent="0.2">
      <c r="B48" s="234">
        <v>2016</v>
      </c>
      <c r="C48" s="207" t="s">
        <v>204</v>
      </c>
      <c r="D48" s="202">
        <v>2903943.3333333335</v>
      </c>
      <c r="E48" s="208">
        <v>2603303.3333333335</v>
      </c>
      <c r="F48" s="208">
        <v>0</v>
      </c>
      <c r="G48" s="208">
        <v>3009025</v>
      </c>
      <c r="H48" s="208">
        <v>4296330</v>
      </c>
      <c r="I48" s="208">
        <v>213620.83333333334</v>
      </c>
      <c r="J48" s="213">
        <f t="shared" si="0"/>
        <v>4006320.8333333344</v>
      </c>
      <c r="M48" s="18"/>
    </row>
    <row r="49" spans="2:13" x14ac:dyDescent="0.2">
      <c r="B49" s="234"/>
      <c r="C49" s="130" t="s">
        <v>205</v>
      </c>
      <c r="D49" s="203">
        <v>2871168.3333333335</v>
      </c>
      <c r="E49" s="198">
        <v>2527328.3333333335</v>
      </c>
      <c r="F49" s="198">
        <v>0</v>
      </c>
      <c r="G49" s="198">
        <v>3002696.666666667</v>
      </c>
      <c r="H49" s="198">
        <v>4498472.5</v>
      </c>
      <c r="I49" s="198">
        <v>165485.83333333334</v>
      </c>
      <c r="J49" s="175">
        <f t="shared" si="0"/>
        <v>3737235.0000000005</v>
      </c>
      <c r="M49" s="18"/>
    </row>
    <row r="50" spans="2:13" x14ac:dyDescent="0.2">
      <c r="B50" s="234"/>
      <c r="C50" s="130" t="s">
        <v>206</v>
      </c>
      <c r="D50" s="203">
        <v>2974668.3333333335</v>
      </c>
      <c r="E50" s="198">
        <v>2385081.666666667</v>
      </c>
      <c r="F50" s="198">
        <v>0</v>
      </c>
      <c r="G50" s="198">
        <v>2902913.3333333335</v>
      </c>
      <c r="H50" s="198">
        <v>4424934.166666667</v>
      </c>
      <c r="I50" s="198">
        <v>148822.5</v>
      </c>
      <c r="J50" s="175">
        <f t="shared" si="0"/>
        <v>3688906.666666667</v>
      </c>
      <c r="M50" s="18"/>
    </row>
    <row r="51" spans="2:13" x14ac:dyDescent="0.2">
      <c r="B51" s="234"/>
      <c r="C51" s="204" t="s">
        <v>207</v>
      </c>
      <c r="D51" s="205">
        <v>3104631.666666667</v>
      </c>
      <c r="E51" s="206">
        <v>2566843.3333333335</v>
      </c>
      <c r="F51" s="206">
        <v>0</v>
      </c>
      <c r="G51" s="206">
        <v>2652303.3333333335</v>
      </c>
      <c r="H51" s="206">
        <v>4322721.666666667</v>
      </c>
      <c r="I51" s="206">
        <v>226018.33333333334</v>
      </c>
      <c r="J51" s="214">
        <f t="shared" si="0"/>
        <v>3775038.3333333335</v>
      </c>
      <c r="M51" s="18"/>
    </row>
    <row r="53" spans="2:13" x14ac:dyDescent="0.2">
      <c r="B53" s="209" t="s">
        <v>235</v>
      </c>
    </row>
  </sheetData>
  <mergeCells count="17">
    <mergeCell ref="D2:I2"/>
    <mergeCell ref="D4:J4"/>
    <mergeCell ref="B40:B43"/>
    <mergeCell ref="B44:B47"/>
    <mergeCell ref="B48:B51"/>
    <mergeCell ref="D7:J7"/>
    <mergeCell ref="B8:B11"/>
    <mergeCell ref="B12:B15"/>
    <mergeCell ref="B16:B19"/>
    <mergeCell ref="B20:B23"/>
    <mergeCell ref="B24:B27"/>
    <mergeCell ref="H5:I5"/>
    <mergeCell ref="J5:J6"/>
    <mergeCell ref="B28:B31"/>
    <mergeCell ref="B32:B35"/>
    <mergeCell ref="B36:B39"/>
    <mergeCell ref="D5:G5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65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3</xdr:row>
                <xdr:rowOff>152400</xdr:rowOff>
              </to>
            </anchor>
          </objectPr>
        </oleObject>
      </mc:Choice>
      <mc:Fallback>
        <oleObject progId="MSPhotoEd.3" shapeId="4065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2"/>
  <sheetViews>
    <sheetView workbookViewId="0">
      <selection activeCell="O9" sqref="O9"/>
    </sheetView>
  </sheetViews>
  <sheetFormatPr defaultRowHeight="12.75" x14ac:dyDescent="0.2"/>
  <cols>
    <col min="1" max="3" width="9.140625" style="17"/>
    <col min="4" max="4" width="11.5703125" style="17" customWidth="1"/>
    <col min="5" max="6" width="12.140625" style="17" customWidth="1"/>
    <col min="7" max="7" width="11.5703125" style="17" customWidth="1"/>
    <col min="8" max="8" width="12.5703125" style="17" customWidth="1"/>
    <col min="9" max="9" width="11.28515625" style="17" customWidth="1"/>
    <col min="10" max="16384" width="9.140625" style="17"/>
  </cols>
  <sheetData>
    <row r="2" spans="2:9" ht="15" x14ac:dyDescent="0.25">
      <c r="D2" s="218" t="s">
        <v>240</v>
      </c>
      <c r="E2" s="218"/>
      <c r="F2" s="218"/>
      <c r="G2" s="218"/>
      <c r="H2" s="218"/>
      <c r="I2" s="218"/>
    </row>
    <row r="3" spans="2:9" x14ac:dyDescent="0.2">
      <c r="D3" s="228" t="s">
        <v>229</v>
      </c>
      <c r="E3" s="232"/>
      <c r="F3" s="232"/>
      <c r="G3" s="235" t="s">
        <v>230</v>
      </c>
      <c r="H3" s="235"/>
      <c r="I3" s="235"/>
    </row>
    <row r="4" spans="2:9" x14ac:dyDescent="0.2">
      <c r="D4" s="230"/>
      <c r="E4" s="233"/>
      <c r="F4" s="233"/>
      <c r="G4" s="235"/>
      <c r="H4" s="235"/>
      <c r="I4" s="235"/>
    </row>
    <row r="5" spans="2:9" ht="31.9" customHeight="1" x14ac:dyDescent="0.2">
      <c r="D5" s="200" t="s">
        <v>226</v>
      </c>
      <c r="E5" s="200" t="s">
        <v>227</v>
      </c>
      <c r="F5" s="215" t="s">
        <v>225</v>
      </c>
      <c r="G5" s="200" t="s">
        <v>226</v>
      </c>
      <c r="H5" s="200" t="s">
        <v>227</v>
      </c>
      <c r="I5" s="200" t="s">
        <v>228</v>
      </c>
    </row>
    <row r="6" spans="2:9" x14ac:dyDescent="0.2">
      <c r="D6" s="220" t="s">
        <v>209</v>
      </c>
      <c r="E6" s="220"/>
      <c r="F6" s="220"/>
      <c r="G6" s="220"/>
      <c r="H6" s="220"/>
      <c r="I6" s="220"/>
    </row>
    <row r="7" spans="2:9" x14ac:dyDescent="0.2">
      <c r="B7" s="237">
        <v>2006</v>
      </c>
      <c r="C7" s="216" t="s">
        <v>204</v>
      </c>
      <c r="D7" s="208">
        <v>5295737.5000000009</v>
      </c>
      <c r="E7" s="208">
        <v>1160519.1666666667</v>
      </c>
      <c r="F7" s="208">
        <f>D7+E7</f>
        <v>6456256.6666666679</v>
      </c>
      <c r="G7" s="208">
        <v>1802330.8333333335</v>
      </c>
      <c r="H7" s="208">
        <v>606851.66666666674</v>
      </c>
      <c r="I7" s="208">
        <f>G7+H7</f>
        <v>2409182.5</v>
      </c>
    </row>
    <row r="8" spans="2:9" x14ac:dyDescent="0.2">
      <c r="B8" s="237"/>
      <c r="C8" s="216" t="s">
        <v>205</v>
      </c>
      <c r="D8" s="198">
        <v>5675250.833333333</v>
      </c>
      <c r="E8" s="198">
        <v>1112460</v>
      </c>
      <c r="F8" s="198">
        <f t="shared" ref="F8:F50" si="0">D8+E8</f>
        <v>6787710.833333333</v>
      </c>
      <c r="G8" s="198">
        <v>1844421.6666666667</v>
      </c>
      <c r="H8" s="198">
        <v>1299734.1666666667</v>
      </c>
      <c r="I8" s="198">
        <f t="shared" ref="I8:I50" si="1">G8+H8</f>
        <v>3144155.8333333335</v>
      </c>
    </row>
    <row r="9" spans="2:9" x14ac:dyDescent="0.2">
      <c r="B9" s="237"/>
      <c r="C9" s="216" t="s">
        <v>206</v>
      </c>
      <c r="D9" s="198">
        <v>5666833.333333334</v>
      </c>
      <c r="E9" s="198">
        <v>1090727.5</v>
      </c>
      <c r="F9" s="198">
        <f t="shared" si="0"/>
        <v>6757560.833333334</v>
      </c>
      <c r="G9" s="198">
        <v>1932232.5000000002</v>
      </c>
      <c r="H9" s="198">
        <v>1284187.5</v>
      </c>
      <c r="I9" s="198">
        <f t="shared" si="1"/>
        <v>3216420</v>
      </c>
    </row>
    <row r="10" spans="2:9" x14ac:dyDescent="0.2">
      <c r="B10" s="237"/>
      <c r="C10" s="216" t="s">
        <v>207</v>
      </c>
      <c r="D10" s="206">
        <v>6239292.5</v>
      </c>
      <c r="E10" s="206">
        <v>1117210</v>
      </c>
      <c r="F10" s="206">
        <f t="shared" si="0"/>
        <v>7356502.5</v>
      </c>
      <c r="G10" s="206">
        <v>2127312.5</v>
      </c>
      <c r="H10" s="206">
        <v>1213384.1666666667</v>
      </c>
      <c r="I10" s="206">
        <f t="shared" si="1"/>
        <v>3340696.666666667</v>
      </c>
    </row>
    <row r="11" spans="2:9" x14ac:dyDescent="0.2">
      <c r="B11" s="237">
        <v>2007</v>
      </c>
      <c r="C11" s="216" t="s">
        <v>204</v>
      </c>
      <c r="D11" s="208">
        <v>6863941.666666667</v>
      </c>
      <c r="E11" s="208">
        <v>1069687.5</v>
      </c>
      <c r="F11" s="208">
        <f t="shared" si="0"/>
        <v>7933629.166666667</v>
      </c>
      <c r="G11" s="208">
        <v>2061716.6666666667</v>
      </c>
      <c r="H11" s="208">
        <v>1406937.5</v>
      </c>
      <c r="I11" s="208">
        <f t="shared" si="1"/>
        <v>3468654.166666667</v>
      </c>
    </row>
    <row r="12" spans="2:9" x14ac:dyDescent="0.2">
      <c r="B12" s="237"/>
      <c r="C12" s="216" t="s">
        <v>205</v>
      </c>
      <c r="D12" s="198">
        <v>6894936.666666667</v>
      </c>
      <c r="E12" s="198">
        <v>1353752.5</v>
      </c>
      <c r="F12" s="198">
        <f t="shared" si="0"/>
        <v>8248689.166666667</v>
      </c>
      <c r="G12" s="198">
        <v>2130780</v>
      </c>
      <c r="H12" s="198">
        <v>1420726.6666666667</v>
      </c>
      <c r="I12" s="198">
        <f t="shared" si="1"/>
        <v>3551506.666666667</v>
      </c>
    </row>
    <row r="13" spans="2:9" x14ac:dyDescent="0.2">
      <c r="B13" s="237"/>
      <c r="C13" s="216" t="s">
        <v>206</v>
      </c>
      <c r="D13" s="198">
        <v>5086092.5</v>
      </c>
      <c r="E13" s="198">
        <v>3101539.166666667</v>
      </c>
      <c r="F13" s="198">
        <f t="shared" si="0"/>
        <v>8187631.666666667</v>
      </c>
      <c r="G13" s="198">
        <v>2198404.166666667</v>
      </c>
      <c r="H13" s="198">
        <v>1411459.1666666667</v>
      </c>
      <c r="I13" s="198">
        <f t="shared" si="1"/>
        <v>3609863.333333334</v>
      </c>
    </row>
    <row r="14" spans="2:9" x14ac:dyDescent="0.2">
      <c r="B14" s="237"/>
      <c r="C14" s="216" t="s">
        <v>207</v>
      </c>
      <c r="D14" s="206">
        <v>5332870.833333333</v>
      </c>
      <c r="E14" s="206">
        <v>2934461.666666667</v>
      </c>
      <c r="F14" s="206">
        <f t="shared" si="0"/>
        <v>8267332.5</v>
      </c>
      <c r="G14" s="206">
        <v>2257021.666666667</v>
      </c>
      <c r="H14" s="206">
        <v>1417380.8333333335</v>
      </c>
      <c r="I14" s="206">
        <f t="shared" si="1"/>
        <v>3674402.5000000005</v>
      </c>
    </row>
    <row r="15" spans="2:9" x14ac:dyDescent="0.2">
      <c r="B15" s="237">
        <v>2008</v>
      </c>
      <c r="C15" s="216" t="s">
        <v>204</v>
      </c>
      <c r="D15" s="208">
        <v>5487030.0000000009</v>
      </c>
      <c r="E15" s="208">
        <v>3482681.666666667</v>
      </c>
      <c r="F15" s="208">
        <f t="shared" si="0"/>
        <v>8969711.6666666679</v>
      </c>
      <c r="G15" s="208">
        <v>2255848.3333333335</v>
      </c>
      <c r="H15" s="208">
        <v>1766520.8333333335</v>
      </c>
      <c r="I15" s="208">
        <f t="shared" si="1"/>
        <v>4022369.166666667</v>
      </c>
    </row>
    <row r="16" spans="2:9" x14ac:dyDescent="0.2">
      <c r="B16" s="237"/>
      <c r="C16" s="216" t="s">
        <v>205</v>
      </c>
      <c r="D16" s="198">
        <v>4919281.666666667</v>
      </c>
      <c r="E16" s="198">
        <v>3929444.166666667</v>
      </c>
      <c r="F16" s="198">
        <f t="shared" si="0"/>
        <v>8848725.833333334</v>
      </c>
      <c r="G16" s="198">
        <v>2408967.5</v>
      </c>
      <c r="H16" s="198">
        <v>1642533.3333333335</v>
      </c>
      <c r="I16" s="198">
        <f t="shared" si="1"/>
        <v>4051500.8333333335</v>
      </c>
    </row>
    <row r="17" spans="2:9" x14ac:dyDescent="0.2">
      <c r="B17" s="237"/>
      <c r="C17" s="216" t="s">
        <v>206</v>
      </c>
      <c r="D17" s="198">
        <v>4594076.666666667</v>
      </c>
      <c r="E17" s="198">
        <v>3750563.3333333335</v>
      </c>
      <c r="F17" s="198">
        <f t="shared" si="0"/>
        <v>8344640</v>
      </c>
      <c r="G17" s="198">
        <v>2512477.5</v>
      </c>
      <c r="H17" s="198">
        <v>1624015</v>
      </c>
      <c r="I17" s="198">
        <f t="shared" si="1"/>
        <v>4136492.5</v>
      </c>
    </row>
    <row r="18" spans="2:9" x14ac:dyDescent="0.2">
      <c r="B18" s="237"/>
      <c r="C18" s="216" t="s">
        <v>207</v>
      </c>
      <c r="D18" s="206">
        <v>5484585.8009666661</v>
      </c>
      <c r="E18" s="206">
        <v>3732739.166666667</v>
      </c>
      <c r="F18" s="206">
        <f t="shared" si="0"/>
        <v>9217324.9676333331</v>
      </c>
      <c r="G18" s="206">
        <v>2763132.5</v>
      </c>
      <c r="H18" s="206">
        <v>1552128.3333333335</v>
      </c>
      <c r="I18" s="206">
        <f t="shared" si="1"/>
        <v>4315260.833333334</v>
      </c>
    </row>
    <row r="19" spans="2:9" x14ac:dyDescent="0.2">
      <c r="B19" s="237">
        <v>2009</v>
      </c>
      <c r="C19" s="216" t="s">
        <v>204</v>
      </c>
      <c r="D19" s="208">
        <v>7822686.666666667</v>
      </c>
      <c r="E19" s="208">
        <v>1693250.8333333335</v>
      </c>
      <c r="F19" s="208">
        <f t="shared" si="0"/>
        <v>9515937.5</v>
      </c>
      <c r="G19" s="208">
        <v>2853677.5000000005</v>
      </c>
      <c r="H19" s="208">
        <v>1536618.3333333335</v>
      </c>
      <c r="I19" s="208">
        <f t="shared" si="1"/>
        <v>4390295.833333334</v>
      </c>
    </row>
    <row r="20" spans="2:9" x14ac:dyDescent="0.2">
      <c r="B20" s="237"/>
      <c r="C20" s="216" t="s">
        <v>205</v>
      </c>
      <c r="D20" s="198">
        <v>5649327.5</v>
      </c>
      <c r="E20" s="198">
        <v>2874517.5</v>
      </c>
      <c r="F20" s="198">
        <f t="shared" si="0"/>
        <v>8523845</v>
      </c>
      <c r="G20" s="198">
        <v>3002872.5</v>
      </c>
      <c r="H20" s="198">
        <v>1543071.6666666667</v>
      </c>
      <c r="I20" s="198">
        <f t="shared" si="1"/>
        <v>4545944.166666667</v>
      </c>
    </row>
    <row r="21" spans="2:9" x14ac:dyDescent="0.2">
      <c r="B21" s="237"/>
      <c r="C21" s="216" t="s">
        <v>206</v>
      </c>
      <c r="D21" s="198">
        <v>5379067.5</v>
      </c>
      <c r="E21" s="198">
        <v>2741505.8333333335</v>
      </c>
      <c r="F21" s="198">
        <f t="shared" si="0"/>
        <v>8120573.333333334</v>
      </c>
      <c r="G21" s="198">
        <v>3027200.8333333335</v>
      </c>
      <c r="H21" s="198">
        <v>1535733.3333333335</v>
      </c>
      <c r="I21" s="198">
        <f t="shared" si="1"/>
        <v>4562934.166666667</v>
      </c>
    </row>
    <row r="22" spans="2:9" x14ac:dyDescent="0.2">
      <c r="B22" s="237"/>
      <c r="C22" s="216" t="s">
        <v>207</v>
      </c>
      <c r="D22" s="206">
        <v>5862127.5</v>
      </c>
      <c r="E22" s="206">
        <v>2677936.666666667</v>
      </c>
      <c r="F22" s="206">
        <f t="shared" si="0"/>
        <v>8540064.1666666679</v>
      </c>
      <c r="G22" s="206">
        <v>2836820.8333333335</v>
      </c>
      <c r="H22" s="206">
        <v>1536805.8333333335</v>
      </c>
      <c r="I22" s="206">
        <f t="shared" si="1"/>
        <v>4373626.666666667</v>
      </c>
    </row>
    <row r="23" spans="2:9" x14ac:dyDescent="0.2">
      <c r="B23" s="237">
        <v>2010</v>
      </c>
      <c r="C23" s="216" t="s">
        <v>204</v>
      </c>
      <c r="D23" s="208">
        <v>5942520.833333334</v>
      </c>
      <c r="E23" s="208">
        <v>2686735</v>
      </c>
      <c r="F23" s="208">
        <f t="shared" si="0"/>
        <v>8629255.833333334</v>
      </c>
      <c r="G23" s="208">
        <v>2860546.6666666665</v>
      </c>
      <c r="H23" s="208">
        <v>1503586.6666666667</v>
      </c>
      <c r="I23" s="208">
        <f t="shared" si="1"/>
        <v>4364133.333333333</v>
      </c>
    </row>
    <row r="24" spans="2:9" x14ac:dyDescent="0.2">
      <c r="B24" s="237"/>
      <c r="C24" s="216" t="s">
        <v>205</v>
      </c>
      <c r="D24" s="198">
        <v>6068355.0000000009</v>
      </c>
      <c r="E24" s="198">
        <v>2561280</v>
      </c>
      <c r="F24" s="198">
        <f t="shared" si="0"/>
        <v>8629635</v>
      </c>
      <c r="G24" s="198">
        <v>2905836.666666667</v>
      </c>
      <c r="H24" s="198">
        <v>1486119.1666666667</v>
      </c>
      <c r="I24" s="198">
        <f t="shared" si="1"/>
        <v>4391955.833333334</v>
      </c>
    </row>
    <row r="25" spans="2:9" x14ac:dyDescent="0.2">
      <c r="B25" s="237"/>
      <c r="C25" s="216" t="s">
        <v>206</v>
      </c>
      <c r="D25" s="198">
        <v>5187023.333333334</v>
      </c>
      <c r="E25" s="198">
        <v>3020530.8333333335</v>
      </c>
      <c r="F25" s="198">
        <f t="shared" si="0"/>
        <v>8207554.1666666679</v>
      </c>
      <c r="G25" s="198">
        <v>2932698.3333333335</v>
      </c>
      <c r="H25" s="198">
        <v>1515468.3333333335</v>
      </c>
      <c r="I25" s="198">
        <f t="shared" si="1"/>
        <v>4448166.666666667</v>
      </c>
    </row>
    <row r="26" spans="2:9" x14ac:dyDescent="0.2">
      <c r="B26" s="237"/>
      <c r="C26" s="216" t="s">
        <v>207</v>
      </c>
      <c r="D26" s="206">
        <v>5222180.833333334</v>
      </c>
      <c r="E26" s="206">
        <v>3076216.666666667</v>
      </c>
      <c r="F26" s="206">
        <f t="shared" si="0"/>
        <v>8298397.5000000009</v>
      </c>
      <c r="G26" s="206">
        <v>3008138.3333333335</v>
      </c>
      <c r="H26" s="206">
        <v>1447627.5</v>
      </c>
      <c r="I26" s="206">
        <f t="shared" si="1"/>
        <v>4455765.833333334</v>
      </c>
    </row>
    <row r="27" spans="2:9" x14ac:dyDescent="0.2">
      <c r="B27" s="237">
        <v>2011</v>
      </c>
      <c r="C27" s="216" t="s">
        <v>204</v>
      </c>
      <c r="D27" s="208">
        <v>5481383.333333334</v>
      </c>
      <c r="E27" s="208">
        <v>2956240.8333333335</v>
      </c>
      <c r="F27" s="208">
        <f t="shared" si="0"/>
        <v>8437624.1666666679</v>
      </c>
      <c r="G27" s="208">
        <v>2918219.1666666665</v>
      </c>
      <c r="H27" s="208">
        <v>1641586.6666666667</v>
      </c>
      <c r="I27" s="208">
        <f t="shared" si="1"/>
        <v>4559805.833333333</v>
      </c>
    </row>
    <row r="28" spans="2:9" x14ac:dyDescent="0.2">
      <c r="B28" s="237"/>
      <c r="C28" s="216" t="s">
        <v>205</v>
      </c>
      <c r="D28" s="198">
        <v>5347899.166666667</v>
      </c>
      <c r="E28" s="198">
        <v>3038579.166666667</v>
      </c>
      <c r="F28" s="198">
        <f t="shared" si="0"/>
        <v>8386478.333333334</v>
      </c>
      <c r="G28" s="198">
        <v>2985531.666666667</v>
      </c>
      <c r="H28" s="198">
        <v>1635760</v>
      </c>
      <c r="I28" s="198">
        <f t="shared" si="1"/>
        <v>4621291.666666667</v>
      </c>
    </row>
    <row r="29" spans="2:9" x14ac:dyDescent="0.2">
      <c r="B29" s="237"/>
      <c r="C29" s="216" t="s">
        <v>206</v>
      </c>
      <c r="D29" s="198">
        <v>5079090.833333333</v>
      </c>
      <c r="E29" s="198">
        <v>3070344.166666667</v>
      </c>
      <c r="F29" s="198">
        <f t="shared" si="0"/>
        <v>8149435</v>
      </c>
      <c r="G29" s="198">
        <v>3043334.1666666665</v>
      </c>
      <c r="H29" s="198">
        <v>1668207.5</v>
      </c>
      <c r="I29" s="198">
        <f t="shared" si="1"/>
        <v>4711541.666666666</v>
      </c>
    </row>
    <row r="30" spans="2:9" x14ac:dyDescent="0.2">
      <c r="B30" s="237"/>
      <c r="C30" s="216" t="s">
        <v>207</v>
      </c>
      <c r="D30" s="206">
        <v>4663166.666666667</v>
      </c>
      <c r="E30" s="206">
        <v>3580238.3333333335</v>
      </c>
      <c r="F30" s="206">
        <f t="shared" si="0"/>
        <v>8243405</v>
      </c>
      <c r="G30" s="206">
        <v>3106489.166666667</v>
      </c>
      <c r="H30" s="206">
        <v>1517171.6666666667</v>
      </c>
      <c r="I30" s="206">
        <f t="shared" si="1"/>
        <v>4623660.833333334</v>
      </c>
    </row>
    <row r="31" spans="2:9" x14ac:dyDescent="0.2">
      <c r="B31" s="237">
        <v>2012</v>
      </c>
      <c r="C31" s="216" t="s">
        <v>204</v>
      </c>
      <c r="D31" s="208">
        <v>5089440.833333333</v>
      </c>
      <c r="E31" s="208">
        <v>3396112.5</v>
      </c>
      <c r="F31" s="208">
        <f t="shared" si="0"/>
        <v>8485553.3333333321</v>
      </c>
      <c r="G31" s="208">
        <v>3081559.166666667</v>
      </c>
      <c r="H31" s="208">
        <v>1511430.8333333335</v>
      </c>
      <c r="I31" s="208">
        <f t="shared" si="1"/>
        <v>4592990</v>
      </c>
    </row>
    <row r="32" spans="2:9" x14ac:dyDescent="0.2">
      <c r="B32" s="237"/>
      <c r="C32" s="216" t="s">
        <v>205</v>
      </c>
      <c r="D32" s="198">
        <v>5208240</v>
      </c>
      <c r="E32" s="198">
        <v>3216194.166666667</v>
      </c>
      <c r="F32" s="198">
        <f t="shared" si="0"/>
        <v>8424434.1666666679</v>
      </c>
      <c r="G32" s="198">
        <v>3072214.1666666665</v>
      </c>
      <c r="H32" s="198">
        <v>1360091.6666666667</v>
      </c>
      <c r="I32" s="198">
        <f t="shared" si="1"/>
        <v>4432305.833333333</v>
      </c>
    </row>
    <row r="33" spans="2:9" x14ac:dyDescent="0.2">
      <c r="B33" s="237"/>
      <c r="C33" s="216" t="s">
        <v>206</v>
      </c>
      <c r="D33" s="198">
        <v>4862564.166666667</v>
      </c>
      <c r="E33" s="198">
        <v>3344095</v>
      </c>
      <c r="F33" s="198">
        <f t="shared" si="0"/>
        <v>8206659.166666667</v>
      </c>
      <c r="G33" s="198">
        <v>3063411.6666666665</v>
      </c>
      <c r="H33" s="198">
        <v>1346401.6666666667</v>
      </c>
      <c r="I33" s="198">
        <f t="shared" si="1"/>
        <v>4409813.333333333</v>
      </c>
    </row>
    <row r="34" spans="2:9" x14ac:dyDescent="0.2">
      <c r="B34" s="237"/>
      <c r="C34" s="216" t="s">
        <v>207</v>
      </c>
      <c r="D34" s="206">
        <v>5161759.166666667</v>
      </c>
      <c r="E34" s="206">
        <v>3584786.666666667</v>
      </c>
      <c r="F34" s="206">
        <f t="shared" si="0"/>
        <v>8746545.833333334</v>
      </c>
      <c r="G34" s="206">
        <v>3050577.5000000005</v>
      </c>
      <c r="H34" s="206">
        <v>1273855.8333333335</v>
      </c>
      <c r="I34" s="206">
        <f t="shared" si="1"/>
        <v>4324433.333333334</v>
      </c>
    </row>
    <row r="35" spans="2:9" x14ac:dyDescent="0.2">
      <c r="B35" s="237">
        <v>2013</v>
      </c>
      <c r="C35" s="216" t="s">
        <v>204</v>
      </c>
      <c r="D35" s="208">
        <v>5441794.166666667</v>
      </c>
      <c r="E35" s="208">
        <v>3255695</v>
      </c>
      <c r="F35" s="208">
        <f t="shared" si="0"/>
        <v>8697489.1666666679</v>
      </c>
      <c r="G35" s="208">
        <v>3006637.5000000005</v>
      </c>
      <c r="H35" s="208">
        <v>1299024.1666666667</v>
      </c>
      <c r="I35" s="208">
        <f t="shared" si="1"/>
        <v>4305661.666666667</v>
      </c>
    </row>
    <row r="36" spans="2:9" x14ac:dyDescent="0.2">
      <c r="B36" s="237"/>
      <c r="C36" s="216" t="s">
        <v>205</v>
      </c>
      <c r="D36" s="198">
        <v>5221440.833333334</v>
      </c>
      <c r="E36" s="198">
        <v>3065187.5</v>
      </c>
      <c r="F36" s="198">
        <f t="shared" si="0"/>
        <v>8286628.333333334</v>
      </c>
      <c r="G36" s="198">
        <v>2980108.3333333335</v>
      </c>
      <c r="H36" s="198">
        <v>716272.5</v>
      </c>
      <c r="I36" s="198">
        <f t="shared" si="1"/>
        <v>3696380.8333333335</v>
      </c>
    </row>
    <row r="37" spans="2:9" x14ac:dyDescent="0.2">
      <c r="B37" s="237"/>
      <c r="C37" s="216" t="s">
        <v>206</v>
      </c>
      <c r="D37" s="198">
        <v>5176465.833333334</v>
      </c>
      <c r="E37" s="198">
        <v>2795552.5</v>
      </c>
      <c r="F37" s="198">
        <f t="shared" si="0"/>
        <v>7972018.333333334</v>
      </c>
      <c r="G37" s="198">
        <v>2933335.8333333335</v>
      </c>
      <c r="H37" s="198">
        <v>821454.16666666674</v>
      </c>
      <c r="I37" s="198">
        <f t="shared" si="1"/>
        <v>3754790</v>
      </c>
    </row>
    <row r="38" spans="2:9" x14ac:dyDescent="0.2">
      <c r="B38" s="237"/>
      <c r="C38" s="216" t="s">
        <v>207</v>
      </c>
      <c r="D38" s="206">
        <v>5792222.5</v>
      </c>
      <c r="E38" s="206">
        <v>2815620</v>
      </c>
      <c r="F38" s="206">
        <f t="shared" si="0"/>
        <v>8607842.5</v>
      </c>
      <c r="G38" s="206">
        <v>2974690.8333333335</v>
      </c>
      <c r="H38" s="206">
        <v>864035.83333333337</v>
      </c>
      <c r="I38" s="206">
        <f t="shared" si="1"/>
        <v>3838726.666666667</v>
      </c>
    </row>
    <row r="39" spans="2:9" x14ac:dyDescent="0.2">
      <c r="B39" s="237">
        <v>2014</v>
      </c>
      <c r="C39" s="216" t="s">
        <v>204</v>
      </c>
      <c r="D39" s="208">
        <v>5559188.333333334</v>
      </c>
      <c r="E39" s="208">
        <v>2644537.5</v>
      </c>
      <c r="F39" s="208">
        <f t="shared" si="0"/>
        <v>8203725.833333334</v>
      </c>
      <c r="G39" s="208">
        <v>2957130</v>
      </c>
      <c r="H39" s="208">
        <v>893534.16666666674</v>
      </c>
      <c r="I39" s="208">
        <f t="shared" si="1"/>
        <v>3850664.166666667</v>
      </c>
    </row>
    <row r="40" spans="2:9" x14ac:dyDescent="0.2">
      <c r="B40" s="237"/>
      <c r="C40" s="216" t="s">
        <v>205</v>
      </c>
      <c r="D40" s="198">
        <v>5266235</v>
      </c>
      <c r="E40" s="198">
        <v>2626682.5</v>
      </c>
      <c r="F40" s="198">
        <f t="shared" si="0"/>
        <v>7892917.5</v>
      </c>
      <c r="G40" s="198">
        <v>2994020.8333333335</v>
      </c>
      <c r="H40" s="198">
        <v>892127.5</v>
      </c>
      <c r="I40" s="198">
        <f t="shared" si="1"/>
        <v>3886148.3333333335</v>
      </c>
    </row>
    <row r="41" spans="2:9" x14ac:dyDescent="0.2">
      <c r="B41" s="237"/>
      <c r="C41" s="216" t="s">
        <v>206</v>
      </c>
      <c r="D41" s="198">
        <v>5050810.833333334</v>
      </c>
      <c r="E41" s="198">
        <v>2628594.166666667</v>
      </c>
      <c r="F41" s="198">
        <f t="shared" si="0"/>
        <v>7679405.0000000009</v>
      </c>
      <c r="G41" s="198">
        <v>3010871.6666666665</v>
      </c>
      <c r="H41" s="198">
        <v>827419.16666666674</v>
      </c>
      <c r="I41" s="198">
        <f t="shared" si="1"/>
        <v>3838290.833333333</v>
      </c>
    </row>
    <row r="42" spans="2:9" x14ac:dyDescent="0.2">
      <c r="B42" s="237"/>
      <c r="C42" s="216" t="s">
        <v>207</v>
      </c>
      <c r="D42" s="206">
        <v>4836892.5</v>
      </c>
      <c r="E42" s="206">
        <v>2806760</v>
      </c>
      <c r="F42" s="206">
        <f t="shared" si="0"/>
        <v>7643652.5</v>
      </c>
      <c r="G42" s="206">
        <v>2971232.5000000005</v>
      </c>
      <c r="H42" s="206">
        <v>897188.33333333337</v>
      </c>
      <c r="I42" s="206">
        <f t="shared" si="1"/>
        <v>3868420.833333334</v>
      </c>
    </row>
    <row r="43" spans="2:9" x14ac:dyDescent="0.2">
      <c r="B43" s="237">
        <v>2015</v>
      </c>
      <c r="C43" s="216" t="s">
        <v>204</v>
      </c>
      <c r="D43" s="208">
        <v>4814313.333333334</v>
      </c>
      <c r="E43" s="208">
        <v>2906675</v>
      </c>
      <c r="F43" s="208">
        <f t="shared" si="0"/>
        <v>7720988.333333334</v>
      </c>
      <c r="G43" s="208">
        <v>2915870</v>
      </c>
      <c r="H43" s="208">
        <v>815971.66666666674</v>
      </c>
      <c r="I43" s="208">
        <f t="shared" si="1"/>
        <v>3731841.666666667</v>
      </c>
    </row>
    <row r="44" spans="2:9" x14ac:dyDescent="0.2">
      <c r="B44" s="237"/>
      <c r="C44" s="216" t="s">
        <v>205</v>
      </c>
      <c r="D44" s="198">
        <v>4921520</v>
      </c>
      <c r="E44" s="198">
        <v>2797320</v>
      </c>
      <c r="F44" s="198">
        <f t="shared" si="0"/>
        <v>7718840</v>
      </c>
      <c r="G44" s="198">
        <v>2946035.8333333335</v>
      </c>
      <c r="H44" s="198">
        <v>820903.33333333337</v>
      </c>
      <c r="I44" s="198">
        <f t="shared" si="1"/>
        <v>3766939.166666667</v>
      </c>
    </row>
    <row r="45" spans="2:9" x14ac:dyDescent="0.2">
      <c r="B45" s="237"/>
      <c r="C45" s="216" t="s">
        <v>206</v>
      </c>
      <c r="D45" s="198">
        <v>5354460</v>
      </c>
      <c r="E45" s="198">
        <v>4168993.3333333335</v>
      </c>
      <c r="F45" s="198">
        <f t="shared" si="0"/>
        <v>9523453.333333334</v>
      </c>
      <c r="G45" s="198">
        <v>3008930.0000000005</v>
      </c>
      <c r="H45" s="198">
        <v>2537550</v>
      </c>
      <c r="I45" s="198">
        <f t="shared" si="1"/>
        <v>5546480</v>
      </c>
    </row>
    <row r="46" spans="2:9" x14ac:dyDescent="0.2">
      <c r="B46" s="237"/>
      <c r="C46" s="216" t="s">
        <v>207</v>
      </c>
      <c r="D46" s="206">
        <v>5790253.333333334</v>
      </c>
      <c r="E46" s="206">
        <v>4549055.833333334</v>
      </c>
      <c r="F46" s="206">
        <f t="shared" si="0"/>
        <v>10339309.166666668</v>
      </c>
      <c r="G46" s="206">
        <v>2981218.3333333335</v>
      </c>
      <c r="H46" s="206">
        <v>2946961.666666667</v>
      </c>
      <c r="I46" s="206">
        <f t="shared" si="1"/>
        <v>5928180</v>
      </c>
    </row>
    <row r="47" spans="2:9" x14ac:dyDescent="0.2">
      <c r="B47" s="237">
        <v>2016</v>
      </c>
      <c r="C47" s="216" t="s">
        <v>204</v>
      </c>
      <c r="D47" s="208">
        <v>6013620.833333334</v>
      </c>
      <c r="E47" s="208">
        <v>4296330</v>
      </c>
      <c r="F47" s="208">
        <f t="shared" si="0"/>
        <v>10309950.833333334</v>
      </c>
      <c r="G47" s="208">
        <v>2954648.3333333335</v>
      </c>
      <c r="H47" s="208">
        <v>3009025</v>
      </c>
      <c r="I47" s="208">
        <f t="shared" si="1"/>
        <v>5963673.333333334</v>
      </c>
    </row>
    <row r="48" spans="2:9" x14ac:dyDescent="0.2">
      <c r="B48" s="237"/>
      <c r="C48" s="216" t="s">
        <v>205</v>
      </c>
      <c r="D48" s="198">
        <v>5794616.666666667</v>
      </c>
      <c r="E48" s="198">
        <v>4498472.5</v>
      </c>
      <c r="F48" s="198">
        <f t="shared" si="0"/>
        <v>10293089.166666668</v>
      </c>
      <c r="G48" s="198">
        <v>2983150</v>
      </c>
      <c r="H48" s="198">
        <v>3002696.666666667</v>
      </c>
      <c r="I48" s="198">
        <f t="shared" si="1"/>
        <v>5985846.666666667</v>
      </c>
    </row>
    <row r="49" spans="2:9" x14ac:dyDescent="0.2">
      <c r="B49" s="237"/>
      <c r="C49" s="216" t="s">
        <v>206</v>
      </c>
      <c r="D49" s="198">
        <v>5724844.166666667</v>
      </c>
      <c r="E49" s="198">
        <v>4424934.166666667</v>
      </c>
      <c r="F49" s="198">
        <f t="shared" si="0"/>
        <v>10149778.333333334</v>
      </c>
      <c r="G49" s="198">
        <v>3066403.3333333335</v>
      </c>
      <c r="H49" s="198">
        <v>2902913.3333333335</v>
      </c>
      <c r="I49" s="198">
        <f t="shared" si="1"/>
        <v>5969316.666666667</v>
      </c>
    </row>
    <row r="50" spans="2:9" x14ac:dyDescent="0.2">
      <c r="B50" s="237"/>
      <c r="C50" s="216" t="s">
        <v>207</v>
      </c>
      <c r="D50" s="206">
        <v>6039650</v>
      </c>
      <c r="E50" s="206">
        <v>4322721.666666667</v>
      </c>
      <c r="F50" s="206">
        <f t="shared" si="0"/>
        <v>10362371.666666668</v>
      </c>
      <c r="G50" s="206">
        <v>3083885.0000000005</v>
      </c>
      <c r="H50" s="206">
        <v>2652303.3333333335</v>
      </c>
      <c r="I50" s="206">
        <f t="shared" si="1"/>
        <v>5736188.333333334</v>
      </c>
    </row>
    <row r="52" spans="2:9" x14ac:dyDescent="0.2">
      <c r="B52" s="209" t="s">
        <v>235</v>
      </c>
    </row>
  </sheetData>
  <mergeCells count="15">
    <mergeCell ref="D2:I2"/>
    <mergeCell ref="D3:F4"/>
    <mergeCell ref="G3:I4"/>
    <mergeCell ref="B47:B50"/>
    <mergeCell ref="D6:I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755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3</xdr:row>
                <xdr:rowOff>152400</xdr:rowOff>
              </to>
            </anchor>
          </objectPr>
        </oleObject>
      </mc:Choice>
      <mc:Fallback>
        <oleObject progId="MSPhotoEd.3" shapeId="407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4:AS57"/>
  <sheetViews>
    <sheetView zoomScaleNormal="100" zoomScaleSheetLayoutView="100" workbookViewId="0">
      <pane xSplit="4" ySplit="9" topLeftCell="Z10" activePane="bottomRight" state="frozen"/>
      <selection pane="topRight" activeCell="E1" sqref="E1"/>
      <selection pane="bottomLeft" activeCell="A10" sqref="A10"/>
      <selection pane="bottomRight" activeCell="D6" sqref="D6"/>
    </sheetView>
  </sheetViews>
  <sheetFormatPr defaultRowHeight="12.75" x14ac:dyDescent="0.2"/>
  <cols>
    <col min="1" max="2" width="2.5703125" style="25" customWidth="1"/>
    <col min="3" max="3" width="7" style="25" bestFit="1" customWidth="1"/>
    <col min="4" max="4" width="56.7109375" style="25" customWidth="1"/>
    <col min="5" max="6" width="8.7109375" style="25" customWidth="1"/>
    <col min="7" max="12" width="7.140625" style="25" customWidth="1"/>
    <col min="13" max="13" width="8.42578125" style="25" customWidth="1"/>
    <col min="14" max="19" width="7.85546875" style="25" customWidth="1"/>
    <col min="20" max="21" width="13.28515625" style="25" customWidth="1"/>
    <col min="22" max="28" width="10.5703125" style="25" customWidth="1"/>
    <col min="29" max="41" width="9.140625" style="25"/>
    <col min="42" max="42" width="0" style="25" hidden="1" customWidth="1"/>
    <col min="43" max="16384" width="9.140625" style="25"/>
  </cols>
  <sheetData>
    <row r="4" spans="3:30" ht="15" x14ac:dyDescent="0.25"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</row>
    <row r="5" spans="3:30" ht="9" customHeight="1" x14ac:dyDescent="0.2"/>
    <row r="8" spans="3:30" ht="18.75" customHeight="1" x14ac:dyDescent="0.25">
      <c r="C8" s="183"/>
      <c r="D8" s="197" t="s">
        <v>237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79"/>
    </row>
    <row r="10" spans="3:30" x14ac:dyDescent="0.2">
      <c r="AB10" s="185"/>
      <c r="AD10" s="185" t="s">
        <v>158</v>
      </c>
    </row>
    <row r="11" spans="3:30" x14ac:dyDescent="0.2">
      <c r="E11" s="144">
        <v>1990</v>
      </c>
      <c r="F11" s="144">
        <v>1991</v>
      </c>
      <c r="G11" s="145">
        <v>1992</v>
      </c>
      <c r="H11" s="145">
        <v>1993</v>
      </c>
      <c r="I11" s="145">
        <v>1994</v>
      </c>
      <c r="J11" s="145">
        <v>1995</v>
      </c>
      <c r="K11" s="145">
        <v>1996</v>
      </c>
      <c r="L11" s="145">
        <v>1997</v>
      </c>
      <c r="M11" s="145">
        <v>1998</v>
      </c>
      <c r="N11" s="145">
        <v>1999</v>
      </c>
      <c r="O11" s="146">
        <v>2000</v>
      </c>
      <c r="P11" s="47">
        <v>2001</v>
      </c>
      <c r="Q11" s="47">
        <v>2002</v>
      </c>
      <c r="R11" s="47">
        <v>2003</v>
      </c>
      <c r="S11" s="47">
        <v>2004</v>
      </c>
      <c r="T11" s="47">
        <v>2005</v>
      </c>
      <c r="U11" s="47">
        <v>2006</v>
      </c>
      <c r="V11" s="47">
        <v>2008</v>
      </c>
      <c r="W11" s="47">
        <v>2009</v>
      </c>
      <c r="X11" s="47">
        <v>2010</v>
      </c>
      <c r="Y11" s="56">
        <v>2011</v>
      </c>
      <c r="Z11" s="56">
        <v>2012</v>
      </c>
      <c r="AA11" s="56">
        <v>2013</v>
      </c>
      <c r="AB11" s="56">
        <v>2014</v>
      </c>
      <c r="AC11" s="56">
        <v>2015</v>
      </c>
      <c r="AD11" s="56">
        <v>2016</v>
      </c>
    </row>
    <row r="13" spans="3:30" x14ac:dyDescent="0.2">
      <c r="D13" s="186" t="s">
        <v>21</v>
      </c>
      <c r="E13" s="187">
        <f t="shared" ref="E13:U13" si="0">AVERAGE(E15:E18)</f>
        <v>5.6999999999999993</v>
      </c>
      <c r="F13" s="187">
        <f t="shared" si="0"/>
        <v>4.375</v>
      </c>
      <c r="G13" s="187">
        <f t="shared" si="0"/>
        <v>2.4125000000000001</v>
      </c>
      <c r="H13" s="187">
        <f t="shared" si="0"/>
        <v>1.75</v>
      </c>
      <c r="I13" s="187">
        <f t="shared" si="0"/>
        <v>6.2074999999999996</v>
      </c>
      <c r="J13" s="187">
        <f t="shared" si="0"/>
        <v>8.9149999999999991</v>
      </c>
      <c r="K13" s="187">
        <f t="shared" si="0"/>
        <v>8.2925000000000004</v>
      </c>
      <c r="L13" s="187">
        <f t="shared" si="0"/>
        <v>8.25</v>
      </c>
      <c r="M13" s="187">
        <f t="shared" si="0"/>
        <v>8.1875</v>
      </c>
      <c r="N13" s="187">
        <f t="shared" si="0"/>
        <v>7.9774999999999991</v>
      </c>
      <c r="O13" s="187">
        <f t="shared" si="0"/>
        <v>9.2074999999999996</v>
      </c>
      <c r="P13" s="187">
        <f t="shared" si="0"/>
        <v>6.7925000000000004</v>
      </c>
      <c r="Q13" s="187">
        <f t="shared" si="0"/>
        <v>4.6675000000000004</v>
      </c>
      <c r="R13" s="187">
        <f t="shared" si="0"/>
        <v>4.125</v>
      </c>
      <c r="S13" s="187">
        <f t="shared" si="0"/>
        <v>4.335</v>
      </c>
      <c r="T13" s="187">
        <f t="shared" si="0"/>
        <v>6.1883333333333335</v>
      </c>
      <c r="U13" s="187">
        <f t="shared" si="0"/>
        <v>7.9625000000000004</v>
      </c>
      <c r="V13" s="187">
        <f t="shared" ref="V13:AD13" si="1">AVERAGE(V15:V18)</f>
        <v>4.9097249999999999</v>
      </c>
      <c r="W13" s="187">
        <f t="shared" si="1"/>
        <v>3.25</v>
      </c>
      <c r="X13" s="187">
        <f t="shared" si="1"/>
        <v>3.25</v>
      </c>
      <c r="Y13" s="187">
        <f t="shared" si="1"/>
        <v>3.25</v>
      </c>
      <c r="Z13" s="187">
        <f t="shared" si="1"/>
        <v>3.25</v>
      </c>
      <c r="AA13" s="187">
        <f t="shared" si="1"/>
        <v>3.25</v>
      </c>
      <c r="AB13" s="187">
        <f t="shared" si="1"/>
        <v>3.25</v>
      </c>
      <c r="AC13" s="187">
        <f t="shared" si="1"/>
        <v>3.3125</v>
      </c>
      <c r="AD13" s="187">
        <f t="shared" si="1"/>
        <v>3.5625</v>
      </c>
    </row>
    <row r="14" spans="3:30" x14ac:dyDescent="0.2">
      <c r="D14" s="188" t="s">
        <v>20</v>
      </c>
    </row>
    <row r="15" spans="3:30" x14ac:dyDescent="0.2">
      <c r="D15" s="170" t="s">
        <v>76</v>
      </c>
      <c r="E15" s="189">
        <v>5.9</v>
      </c>
      <c r="F15" s="189">
        <v>5</v>
      </c>
      <c r="G15" s="189">
        <v>2.9</v>
      </c>
      <c r="H15" s="189">
        <v>1.75</v>
      </c>
      <c r="I15" s="189">
        <v>6</v>
      </c>
      <c r="J15" s="189">
        <v>8.66</v>
      </c>
      <c r="K15" s="189">
        <v>8.42</v>
      </c>
      <c r="L15" s="189">
        <v>8.25</v>
      </c>
      <c r="M15" s="189">
        <v>8.25</v>
      </c>
      <c r="N15" s="189">
        <v>7.75</v>
      </c>
      <c r="O15" s="189">
        <v>8.66</v>
      </c>
      <c r="P15" s="189">
        <v>8.5</v>
      </c>
      <c r="Q15" s="189">
        <v>4.75</v>
      </c>
      <c r="R15" s="189">
        <v>4.25</v>
      </c>
      <c r="S15" s="189">
        <v>4</v>
      </c>
      <c r="T15" s="189">
        <v>5.5</v>
      </c>
      <c r="U15" s="189">
        <v>7.43</v>
      </c>
      <c r="V15" s="189">
        <f>(6.25+6+5.25)/3</f>
        <v>5.833333333333333</v>
      </c>
      <c r="W15" s="189">
        <v>3.25</v>
      </c>
      <c r="X15" s="189">
        <v>3.25</v>
      </c>
      <c r="Y15" s="189">
        <v>3.25</v>
      </c>
      <c r="Z15" s="189">
        <v>3.25</v>
      </c>
      <c r="AA15" s="189">
        <v>3.25</v>
      </c>
      <c r="AB15" s="189">
        <v>3.25</v>
      </c>
      <c r="AC15" s="189">
        <v>3.25</v>
      </c>
      <c r="AD15" s="189">
        <v>3.5</v>
      </c>
    </row>
    <row r="16" spans="3:30" x14ac:dyDescent="0.2">
      <c r="D16" s="170" t="s">
        <v>77</v>
      </c>
      <c r="E16" s="189">
        <v>5.5</v>
      </c>
      <c r="F16" s="189">
        <v>4.25</v>
      </c>
      <c r="G16" s="189">
        <v>2.75</v>
      </c>
      <c r="H16" s="189">
        <v>1.75</v>
      </c>
      <c r="I16" s="189">
        <v>6</v>
      </c>
      <c r="J16" s="189">
        <v>9</v>
      </c>
      <c r="K16" s="189">
        <v>8.25</v>
      </c>
      <c r="L16" s="189">
        <v>8.25</v>
      </c>
      <c r="M16" s="189">
        <v>8.25</v>
      </c>
      <c r="N16" s="25">
        <v>7.75</v>
      </c>
      <c r="O16" s="189">
        <v>9.17</v>
      </c>
      <c r="P16" s="25">
        <v>7.17</v>
      </c>
      <c r="Q16" s="189">
        <v>4.75</v>
      </c>
      <c r="R16" s="25">
        <v>4.25</v>
      </c>
      <c r="S16" s="189">
        <v>4</v>
      </c>
      <c r="T16" s="25">
        <v>5.92</v>
      </c>
      <c r="U16" s="189">
        <v>7.93</v>
      </c>
      <c r="V16" s="189">
        <f>(5.1667+5+5)/3</f>
        <v>5.0555666666666665</v>
      </c>
      <c r="W16" s="189">
        <v>3.25</v>
      </c>
      <c r="X16" s="189">
        <v>3.25</v>
      </c>
      <c r="Y16" s="189">
        <v>3.25</v>
      </c>
      <c r="Z16" s="189">
        <v>3.25</v>
      </c>
      <c r="AA16" s="189">
        <v>3.25</v>
      </c>
      <c r="AB16" s="189">
        <v>3.25</v>
      </c>
      <c r="AC16" s="189">
        <v>3.25</v>
      </c>
      <c r="AD16" s="189">
        <v>3.5</v>
      </c>
    </row>
    <row r="17" spans="3:45" x14ac:dyDescent="0.2">
      <c r="D17" s="170" t="s">
        <v>78</v>
      </c>
      <c r="E17" s="189">
        <v>5.5</v>
      </c>
      <c r="F17" s="189">
        <v>4.25</v>
      </c>
      <c r="G17" s="189">
        <v>2.25</v>
      </c>
      <c r="H17" s="189">
        <v>1.75</v>
      </c>
      <c r="I17" s="189">
        <v>6</v>
      </c>
      <c r="J17" s="189">
        <v>9</v>
      </c>
      <c r="K17" s="189">
        <v>8.25</v>
      </c>
      <c r="L17" s="189">
        <v>8.25</v>
      </c>
      <c r="M17" s="189">
        <v>8.25</v>
      </c>
      <c r="N17" s="25">
        <v>8.08</v>
      </c>
      <c r="O17" s="189">
        <v>9.5</v>
      </c>
      <c r="P17" s="25">
        <v>6.42</v>
      </c>
      <c r="Q17" s="189">
        <v>4.75</v>
      </c>
      <c r="R17" s="189">
        <v>4</v>
      </c>
      <c r="S17" s="189">
        <v>4.41</v>
      </c>
      <c r="T17" s="189">
        <v>6.5</v>
      </c>
      <c r="U17" s="189">
        <v>8.24</v>
      </c>
      <c r="V17" s="189">
        <f>(5+5+5)/3</f>
        <v>5</v>
      </c>
      <c r="W17" s="189">
        <v>3.25</v>
      </c>
      <c r="X17" s="189">
        <v>3.25</v>
      </c>
      <c r="Y17" s="189">
        <v>3.25</v>
      </c>
      <c r="Z17" s="189">
        <v>3.25</v>
      </c>
      <c r="AA17" s="189">
        <v>3.25</v>
      </c>
      <c r="AB17" s="189">
        <v>3.25</v>
      </c>
      <c r="AC17" s="189">
        <v>3.25</v>
      </c>
      <c r="AD17" s="189">
        <v>3.5</v>
      </c>
    </row>
    <row r="18" spans="3:45" x14ac:dyDescent="0.2">
      <c r="D18" s="170" t="s">
        <v>79</v>
      </c>
      <c r="E18" s="189">
        <v>5.9</v>
      </c>
      <c r="F18" s="189">
        <v>4</v>
      </c>
      <c r="G18" s="189">
        <v>1.75</v>
      </c>
      <c r="H18" s="189">
        <v>1.75</v>
      </c>
      <c r="I18" s="189">
        <v>6.83</v>
      </c>
      <c r="J18" s="189">
        <v>9</v>
      </c>
      <c r="K18" s="189">
        <v>8.25</v>
      </c>
      <c r="L18" s="189">
        <v>8.25</v>
      </c>
      <c r="M18" s="189">
        <v>8</v>
      </c>
      <c r="N18" s="189">
        <v>8.33</v>
      </c>
      <c r="O18" s="189">
        <v>9.5</v>
      </c>
      <c r="P18" s="189">
        <v>5.08</v>
      </c>
      <c r="Q18" s="189">
        <v>4.42</v>
      </c>
      <c r="R18" s="189">
        <v>4</v>
      </c>
      <c r="S18" s="189">
        <v>4.93</v>
      </c>
      <c r="T18" s="189">
        <v>6.833333333333333</v>
      </c>
      <c r="U18" s="189">
        <v>8.25</v>
      </c>
      <c r="V18" s="189">
        <f>+(4+4+3.25)/3</f>
        <v>3.75</v>
      </c>
      <c r="W18" s="189">
        <v>3.25</v>
      </c>
      <c r="X18" s="189">
        <v>3.25</v>
      </c>
      <c r="Y18" s="189">
        <v>3.25</v>
      </c>
      <c r="Z18" s="189">
        <v>3.25</v>
      </c>
      <c r="AA18" s="189">
        <v>3.25</v>
      </c>
      <c r="AB18" s="189">
        <v>3.25</v>
      </c>
      <c r="AC18" s="189">
        <v>3.5</v>
      </c>
      <c r="AD18" s="189">
        <v>3.75</v>
      </c>
    </row>
    <row r="19" spans="3:45" x14ac:dyDescent="0.2">
      <c r="D19" s="170"/>
    </row>
    <row r="20" spans="3:45" x14ac:dyDescent="0.2">
      <c r="D20" s="170"/>
    </row>
    <row r="21" spans="3:45" x14ac:dyDescent="0.2">
      <c r="D21" s="190" t="s">
        <v>70</v>
      </c>
    </row>
    <row r="22" spans="3:45" x14ac:dyDescent="0.2">
      <c r="D22" s="25" t="s">
        <v>109</v>
      </c>
    </row>
    <row r="23" spans="3:45" ht="14.25" x14ac:dyDescent="0.2">
      <c r="D23" s="191"/>
    </row>
    <row r="24" spans="3:45" ht="14.25" x14ac:dyDescent="0.2">
      <c r="D24" s="191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</row>
    <row r="25" spans="3:45" ht="15.75" x14ac:dyDescent="0.25">
      <c r="C25" s="193"/>
      <c r="D25" s="193" t="s">
        <v>241</v>
      </c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</row>
    <row r="26" spans="3:45" x14ac:dyDescent="0.2">
      <c r="AB26" s="185"/>
      <c r="AC26" s="185"/>
      <c r="AD26" s="185" t="s">
        <v>158</v>
      </c>
      <c r="AE26" s="192"/>
      <c r="AF26" s="192"/>
      <c r="AG26" s="192"/>
      <c r="AH26" s="192"/>
      <c r="AI26" s="192"/>
      <c r="AJ26" s="192"/>
      <c r="AK26" s="192"/>
      <c r="AL26" s="192"/>
      <c r="AM26" s="194"/>
      <c r="AN26" s="194"/>
      <c r="AO26" s="194"/>
      <c r="AP26" s="194"/>
      <c r="AQ26" s="194"/>
      <c r="AR26" s="194"/>
      <c r="AS26" s="194"/>
    </row>
    <row r="27" spans="3:45" x14ac:dyDescent="0.2">
      <c r="E27" s="144">
        <v>1990</v>
      </c>
      <c r="F27" s="144">
        <v>1991</v>
      </c>
      <c r="G27" s="145">
        <v>1992</v>
      </c>
      <c r="H27" s="145">
        <v>1993</v>
      </c>
      <c r="I27" s="145">
        <v>1994</v>
      </c>
      <c r="J27" s="145">
        <v>1995</v>
      </c>
      <c r="K27" s="145">
        <v>1996</v>
      </c>
      <c r="L27" s="145">
        <v>1997</v>
      </c>
      <c r="M27" s="145">
        <v>1998</v>
      </c>
      <c r="N27" s="145">
        <v>1999</v>
      </c>
      <c r="O27" s="146">
        <v>2000</v>
      </c>
      <c r="P27" s="47">
        <v>2001</v>
      </c>
      <c r="Q27" s="47">
        <v>2002</v>
      </c>
      <c r="R27" s="47">
        <v>2003</v>
      </c>
      <c r="S27" s="47">
        <v>2004</v>
      </c>
      <c r="T27" s="47">
        <v>2005</v>
      </c>
      <c r="U27" s="47">
        <v>2006</v>
      </c>
      <c r="V27" s="47">
        <v>2008</v>
      </c>
      <c r="W27" s="47">
        <v>2009</v>
      </c>
      <c r="X27" s="47">
        <v>2010</v>
      </c>
      <c r="Y27" s="56">
        <v>2011</v>
      </c>
      <c r="Z27" s="56">
        <v>2012</v>
      </c>
      <c r="AA27" s="56">
        <v>2013</v>
      </c>
      <c r="AB27" s="56">
        <v>2014</v>
      </c>
      <c r="AC27" s="56">
        <v>2015</v>
      </c>
      <c r="AD27" s="56">
        <v>2016</v>
      </c>
      <c r="AE27" s="192"/>
      <c r="AF27" s="192"/>
      <c r="AG27" s="192"/>
      <c r="AH27" s="192"/>
      <c r="AI27" s="192"/>
      <c r="AJ27" s="195"/>
      <c r="AK27" s="195"/>
      <c r="AL27" s="195"/>
      <c r="AM27" s="194"/>
      <c r="AN27" s="196"/>
      <c r="AO27" s="196"/>
      <c r="AP27" s="196"/>
      <c r="AQ27" s="196"/>
      <c r="AR27" s="194"/>
    </row>
    <row r="28" spans="3:45" x14ac:dyDescent="0.2">
      <c r="AE28" s="195"/>
      <c r="AF28" s="195"/>
      <c r="AG28" s="195"/>
      <c r="AH28" s="195"/>
      <c r="AI28" s="195"/>
      <c r="AJ28" s="195"/>
      <c r="AK28" s="195"/>
      <c r="AL28" s="195"/>
      <c r="AM28" s="192"/>
      <c r="AN28" s="192"/>
      <c r="AO28" s="192"/>
      <c r="AP28" s="192"/>
      <c r="AQ28" s="192"/>
      <c r="AR28" s="192"/>
    </row>
    <row r="29" spans="3:45" x14ac:dyDescent="0.2">
      <c r="D29" s="186" t="s">
        <v>21</v>
      </c>
      <c r="E29" s="187">
        <f t="shared" ref="E29:U29" si="2">AVERAGE(E31:E34)</f>
        <v>5.6999999999999993</v>
      </c>
      <c r="F29" s="187">
        <f t="shared" si="2"/>
        <v>4.375</v>
      </c>
      <c r="G29" s="187">
        <f t="shared" si="2"/>
        <v>2.4125000000000001</v>
      </c>
      <c r="H29" s="187">
        <f t="shared" si="2"/>
        <v>1.75</v>
      </c>
      <c r="I29" s="187">
        <f t="shared" si="2"/>
        <v>6.2074999999999996</v>
      </c>
      <c r="J29" s="187">
        <f t="shared" si="2"/>
        <v>8.9149999999999991</v>
      </c>
      <c r="K29" s="187">
        <f t="shared" si="2"/>
        <v>8.2925000000000004</v>
      </c>
      <c r="L29" s="187">
        <f t="shared" si="2"/>
        <v>8.25</v>
      </c>
      <c r="M29" s="187">
        <f t="shared" si="2"/>
        <v>8.1875</v>
      </c>
      <c r="N29" s="187">
        <f t="shared" si="2"/>
        <v>7.9774999999999991</v>
      </c>
      <c r="O29" s="187">
        <f t="shared" si="2"/>
        <v>9.2074999999999996</v>
      </c>
      <c r="P29" s="187">
        <f t="shared" si="2"/>
        <v>6.7925000000000004</v>
      </c>
      <c r="Q29" s="187">
        <f t="shared" si="2"/>
        <v>4.6675000000000004</v>
      </c>
      <c r="R29" s="187">
        <f t="shared" si="2"/>
        <v>4.125</v>
      </c>
      <c r="S29" s="187">
        <f t="shared" si="2"/>
        <v>4.335</v>
      </c>
      <c r="T29" s="187">
        <f t="shared" si="2"/>
        <v>6.1883333333333335</v>
      </c>
      <c r="U29" s="187">
        <f t="shared" si="2"/>
        <v>7.9625000000000004</v>
      </c>
      <c r="V29" s="187">
        <f t="shared" ref="V29:AD29" si="3">AVERAGE(V31:V34)</f>
        <v>8.2349999999999994</v>
      </c>
      <c r="W29" s="187">
        <f t="shared" si="3"/>
        <v>6.8425000000000002</v>
      </c>
      <c r="X29" s="187">
        <f t="shared" si="3"/>
        <v>6.6375000000000002</v>
      </c>
      <c r="Y29" s="187">
        <f t="shared" si="3"/>
        <v>6.7275</v>
      </c>
      <c r="Z29" s="187">
        <f t="shared" si="3"/>
        <v>6.3674999999999997</v>
      </c>
      <c r="AA29" s="187">
        <f t="shared" si="3"/>
        <v>6.2550000000000008</v>
      </c>
      <c r="AB29" s="187">
        <f t="shared" si="3"/>
        <v>6.4074999999999998</v>
      </c>
      <c r="AC29" s="187">
        <f t="shared" si="3"/>
        <v>6.8650000000000002</v>
      </c>
      <c r="AD29" s="187">
        <f t="shared" si="3"/>
        <v>6.9909664677547756</v>
      </c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</row>
    <row r="30" spans="3:45" x14ac:dyDescent="0.2">
      <c r="D30" s="188" t="s">
        <v>20</v>
      </c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</row>
    <row r="31" spans="3:45" x14ac:dyDescent="0.2">
      <c r="D31" s="170" t="s">
        <v>76</v>
      </c>
      <c r="E31" s="189">
        <v>5.9</v>
      </c>
      <c r="F31" s="189">
        <v>5</v>
      </c>
      <c r="G31" s="189">
        <v>2.9</v>
      </c>
      <c r="H31" s="189">
        <v>1.75</v>
      </c>
      <c r="I31" s="189">
        <v>6</v>
      </c>
      <c r="J31" s="189">
        <v>8.66</v>
      </c>
      <c r="K31" s="189">
        <v>8.42</v>
      </c>
      <c r="L31" s="189">
        <v>8.25</v>
      </c>
      <c r="M31" s="189">
        <v>8.25</v>
      </c>
      <c r="N31" s="189">
        <v>7.75</v>
      </c>
      <c r="O31" s="189">
        <v>8.66</v>
      </c>
      <c r="P31" s="189">
        <v>8.5</v>
      </c>
      <c r="Q31" s="189">
        <v>4.75</v>
      </c>
      <c r="R31" s="189">
        <v>4.25</v>
      </c>
      <c r="S31" s="189">
        <v>4</v>
      </c>
      <c r="T31" s="189">
        <v>5.5</v>
      </c>
      <c r="U31" s="189">
        <v>7.43</v>
      </c>
      <c r="V31" s="189">
        <v>9.2899999999999991</v>
      </c>
      <c r="W31" s="189">
        <v>6.71</v>
      </c>
      <c r="X31" s="189">
        <v>6.4</v>
      </c>
      <c r="Y31" s="189">
        <v>7.38</v>
      </c>
      <c r="Z31" s="189">
        <v>6.43</v>
      </c>
      <c r="AA31" s="189">
        <v>6.29</v>
      </c>
      <c r="AB31" s="189">
        <v>6.23</v>
      </c>
      <c r="AC31" s="189">
        <v>6.79</v>
      </c>
      <c r="AD31" s="189">
        <v>7.1826999999999996</v>
      </c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</row>
    <row r="32" spans="3:45" x14ac:dyDescent="0.2">
      <c r="D32" s="170" t="s">
        <v>77</v>
      </c>
      <c r="E32" s="189">
        <v>5.5</v>
      </c>
      <c r="F32" s="189">
        <v>4.25</v>
      </c>
      <c r="G32" s="189">
        <v>2.75</v>
      </c>
      <c r="H32" s="189">
        <v>1.75</v>
      </c>
      <c r="I32" s="189">
        <v>6</v>
      </c>
      <c r="J32" s="189">
        <v>9</v>
      </c>
      <c r="K32" s="189">
        <v>8.25</v>
      </c>
      <c r="L32" s="189">
        <v>8.25</v>
      </c>
      <c r="M32" s="189">
        <v>8.25</v>
      </c>
      <c r="N32" s="25">
        <v>7.75</v>
      </c>
      <c r="O32" s="189">
        <v>9.17</v>
      </c>
      <c r="P32" s="25">
        <v>7.17</v>
      </c>
      <c r="Q32" s="189">
        <v>4.75</v>
      </c>
      <c r="R32" s="25">
        <v>4.25</v>
      </c>
      <c r="S32" s="189">
        <v>4</v>
      </c>
      <c r="T32" s="25">
        <v>5.92</v>
      </c>
      <c r="U32" s="189">
        <v>7.93</v>
      </c>
      <c r="V32" s="189">
        <v>8.86</v>
      </c>
      <c r="W32" s="189">
        <v>6.77</v>
      </c>
      <c r="X32" s="189">
        <v>6.55</v>
      </c>
      <c r="Y32" s="189">
        <v>6.43</v>
      </c>
      <c r="Z32" s="189">
        <v>6.41</v>
      </c>
      <c r="AA32" s="189">
        <v>6.26</v>
      </c>
      <c r="AB32" s="189">
        <v>6.47</v>
      </c>
      <c r="AC32" s="189">
        <v>6.85</v>
      </c>
      <c r="AD32" s="189">
        <v>6.8823999999999996</v>
      </c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</row>
    <row r="33" spans="4:44" x14ac:dyDescent="0.2">
      <c r="D33" s="170" t="s">
        <v>78</v>
      </c>
      <c r="E33" s="189">
        <v>5.5</v>
      </c>
      <c r="F33" s="189">
        <v>4.25</v>
      </c>
      <c r="G33" s="189">
        <v>2.25</v>
      </c>
      <c r="H33" s="189">
        <v>1.75</v>
      </c>
      <c r="I33" s="189">
        <v>6</v>
      </c>
      <c r="J33" s="189">
        <v>9</v>
      </c>
      <c r="K33" s="189">
        <v>8.25</v>
      </c>
      <c r="L33" s="189">
        <v>8.25</v>
      </c>
      <c r="M33" s="189">
        <v>8.25</v>
      </c>
      <c r="N33" s="25">
        <v>8.08</v>
      </c>
      <c r="O33" s="189">
        <v>9.5</v>
      </c>
      <c r="P33" s="25">
        <v>6.42</v>
      </c>
      <c r="Q33" s="189">
        <v>4.75</v>
      </c>
      <c r="R33" s="189">
        <v>4</v>
      </c>
      <c r="S33" s="189">
        <v>4.41</v>
      </c>
      <c r="T33" s="189">
        <v>6.5</v>
      </c>
      <c r="U33" s="189">
        <v>8.24</v>
      </c>
      <c r="V33" s="189">
        <v>8.07</v>
      </c>
      <c r="W33" s="189">
        <v>7.43</v>
      </c>
      <c r="X33" s="189">
        <v>7.01</v>
      </c>
      <c r="Y33" s="189">
        <v>6.62</v>
      </c>
      <c r="Z33" s="189">
        <v>6.3</v>
      </c>
      <c r="AA33" s="189">
        <v>6.23</v>
      </c>
      <c r="AB33" s="189">
        <v>6.34</v>
      </c>
      <c r="AC33" s="189">
        <v>6.86</v>
      </c>
      <c r="AD33" s="189">
        <v>6.8843658710191002</v>
      </c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</row>
    <row r="34" spans="4:44" x14ac:dyDescent="0.2">
      <c r="D34" s="170" t="s">
        <v>79</v>
      </c>
      <c r="E34" s="189">
        <v>5.9</v>
      </c>
      <c r="F34" s="189">
        <v>4</v>
      </c>
      <c r="G34" s="189">
        <v>1.75</v>
      </c>
      <c r="H34" s="189">
        <v>1.75</v>
      </c>
      <c r="I34" s="189">
        <v>6.83</v>
      </c>
      <c r="J34" s="189">
        <v>9</v>
      </c>
      <c r="K34" s="189">
        <v>8.25</v>
      </c>
      <c r="L34" s="189">
        <v>8.25</v>
      </c>
      <c r="M34" s="189">
        <v>8</v>
      </c>
      <c r="N34" s="189">
        <v>8.33</v>
      </c>
      <c r="O34" s="189">
        <v>9.5</v>
      </c>
      <c r="P34" s="189">
        <v>5.08</v>
      </c>
      <c r="Q34" s="189">
        <v>4.42</v>
      </c>
      <c r="R34" s="189">
        <v>4</v>
      </c>
      <c r="S34" s="189">
        <v>4.93</v>
      </c>
      <c r="T34" s="189">
        <v>6.833333333333333</v>
      </c>
      <c r="U34" s="189">
        <v>8.25</v>
      </c>
      <c r="V34" s="189">
        <v>6.72</v>
      </c>
      <c r="W34" s="189">
        <v>6.46</v>
      </c>
      <c r="X34" s="189">
        <v>6.59</v>
      </c>
      <c r="Y34" s="189">
        <v>6.48</v>
      </c>
      <c r="Z34" s="189">
        <v>6.33</v>
      </c>
      <c r="AA34" s="189">
        <v>6.24</v>
      </c>
      <c r="AB34" s="189">
        <v>6.59</v>
      </c>
      <c r="AC34" s="189">
        <v>6.96</v>
      </c>
      <c r="AD34" s="189">
        <v>7.0144000000000002</v>
      </c>
    </row>
    <row r="35" spans="4:44" x14ac:dyDescent="0.2">
      <c r="D35" s="170"/>
    </row>
    <row r="36" spans="4:44" x14ac:dyDescent="0.2">
      <c r="D36" s="170"/>
    </row>
    <row r="37" spans="4:44" x14ac:dyDescent="0.2">
      <c r="D37" s="178" t="s">
        <v>104</v>
      </c>
    </row>
    <row r="54" spans="3:27" x14ac:dyDescent="0.2"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38"/>
    </row>
    <row r="55" spans="3:27" x14ac:dyDescent="0.2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38"/>
    </row>
    <row r="56" spans="3:27" ht="9" customHeight="1" x14ac:dyDescent="0.2">
      <c r="C56" s="179"/>
      <c r="D56" s="179"/>
      <c r="E56" s="179"/>
      <c r="F56" s="179"/>
      <c r="G56" s="179"/>
      <c r="H56" s="179"/>
      <c r="I56" s="179"/>
      <c r="J56" s="179"/>
      <c r="K56" s="179"/>
      <c r="L56" s="179"/>
    </row>
    <row r="57" spans="3:27" x14ac:dyDescent="0.2">
      <c r="C57" s="217">
        <f>'.07'!B92:K92+1</f>
        <v>1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180"/>
    </row>
  </sheetData>
  <mergeCells count="1">
    <mergeCell ref="C57:Z57"/>
  </mergeCells>
  <phoneticPr fontId="7" type="noConversion"/>
  <printOptions horizontalCentered="1"/>
  <pageMargins left="1" right="1" top="1" bottom="1" header="0.5" footer="0.5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28575</xdr:colOff>
                <xdr:row>4</xdr:row>
                <xdr:rowOff>57150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55"/>
  <sheetViews>
    <sheetView view="pageBreakPreview" topLeftCell="A4" zoomScaleNormal="100" workbookViewId="0">
      <selection activeCell="T5" sqref="T5"/>
    </sheetView>
  </sheetViews>
  <sheetFormatPr defaultRowHeight="12.75" x14ac:dyDescent="0.2"/>
  <cols>
    <col min="1" max="2" width="2.85546875" customWidth="1"/>
    <col min="3" max="3" width="8.28515625" customWidth="1"/>
    <col min="4" max="4" width="24.7109375" customWidth="1"/>
    <col min="5" max="5" width="0.140625" hidden="1" customWidth="1" collapsed="1"/>
    <col min="6" max="6" width="10.28515625" hidden="1" customWidth="1"/>
    <col min="7" max="11" width="8.28515625" hidden="1" customWidth="1"/>
    <col min="12" max="12" width="9.5703125" hidden="1" customWidth="1"/>
    <col min="13" max="17" width="13.28515625" hidden="1" customWidth="1"/>
    <col min="18" max="19" width="13.28515625" customWidth="1"/>
    <col min="20" max="20" width="11.140625" customWidth="1"/>
    <col min="21" max="21" width="10.85546875" customWidth="1"/>
    <col min="22" max="23" width="13" bestFit="1" customWidth="1"/>
    <col min="24" max="24" width="11.28515625" bestFit="1" customWidth="1"/>
  </cols>
  <sheetData>
    <row r="1" spans="1:43" x14ac:dyDescent="0.2">
      <c r="A1" s="84"/>
    </row>
    <row r="4" spans="1:43" ht="15" x14ac:dyDescent="0.25">
      <c r="L4" s="238" t="s">
        <v>188</v>
      </c>
      <c r="M4" s="238"/>
      <c r="N4" s="238"/>
      <c r="O4" s="238"/>
      <c r="P4" s="238"/>
      <c r="Q4" s="238"/>
      <c r="R4" s="238"/>
      <c r="S4" s="238"/>
      <c r="T4" s="39"/>
    </row>
    <row r="5" spans="1:43" s="22" customFormat="1" ht="9" customHeight="1" x14ac:dyDescent="0.2"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8" spans="1:43" ht="15.75" x14ac:dyDescent="0.25">
      <c r="C8" s="59">
        <v>12.03</v>
      </c>
      <c r="D8" s="129" t="s">
        <v>190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58"/>
      <c r="U8" s="28"/>
    </row>
    <row r="9" spans="1:43" x14ac:dyDescent="0.2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43" x14ac:dyDescent="0.2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33" t="s">
        <v>128</v>
      </c>
      <c r="V10" s="133"/>
      <c r="W10" s="134"/>
      <c r="X10" s="134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43" x14ac:dyDescent="0.2">
      <c r="C11" s="60"/>
      <c r="D11" s="68"/>
      <c r="E11" s="68">
        <v>1990</v>
      </c>
      <c r="F11" s="69">
        <v>1998</v>
      </c>
      <c r="G11" s="69">
        <v>1999</v>
      </c>
      <c r="H11" s="69">
        <v>2000</v>
      </c>
      <c r="I11" s="83">
        <v>2001</v>
      </c>
      <c r="J11" s="69" t="s">
        <v>43</v>
      </c>
      <c r="K11" s="83">
        <v>2003</v>
      </c>
      <c r="L11" s="83">
        <v>2004</v>
      </c>
      <c r="M11" s="83">
        <v>2005</v>
      </c>
      <c r="N11" s="83">
        <v>2006</v>
      </c>
      <c r="O11" s="83">
        <v>2008</v>
      </c>
      <c r="P11" s="71">
        <v>2009</v>
      </c>
      <c r="Q11" s="71">
        <v>2010</v>
      </c>
      <c r="R11" s="72">
        <v>2011</v>
      </c>
      <c r="S11" s="83">
        <v>2012</v>
      </c>
      <c r="T11" s="83">
        <v>2013</v>
      </c>
      <c r="U11" s="83">
        <v>2014</v>
      </c>
      <c r="V11" s="83">
        <v>2015</v>
      </c>
      <c r="W11" s="83">
        <v>2016</v>
      </c>
    </row>
    <row r="12" spans="1:43" x14ac:dyDescent="0.2">
      <c r="C12" s="60"/>
      <c r="D12" s="81"/>
      <c r="E12" s="84"/>
      <c r="F12" s="81"/>
      <c r="G12" s="81"/>
      <c r="H12" s="81"/>
      <c r="I12" s="81"/>
      <c r="J12" s="81"/>
      <c r="K12" s="81"/>
      <c r="L12" s="81"/>
      <c r="M12" s="81"/>
      <c r="N12" s="81"/>
      <c r="O12" s="60"/>
      <c r="P12" s="60"/>
      <c r="Q12" s="60"/>
      <c r="R12" s="60"/>
      <c r="S12" s="60"/>
      <c r="T12" s="60"/>
      <c r="U12" s="60"/>
      <c r="V12" s="60"/>
      <c r="W12" s="60"/>
    </row>
    <row r="13" spans="1:43" x14ac:dyDescent="0.2">
      <c r="C13" s="60"/>
      <c r="D13" s="79" t="s">
        <v>4</v>
      </c>
      <c r="E13" s="77">
        <f t="shared" ref="E13:K13" si="0">SUM(E15:E27)</f>
        <v>269074</v>
      </c>
      <c r="F13" s="85">
        <f t="shared" si="0"/>
        <v>641435</v>
      </c>
      <c r="G13" s="85">
        <f t="shared" si="0"/>
        <v>855644</v>
      </c>
      <c r="H13" s="85">
        <f t="shared" si="0"/>
        <v>887542</v>
      </c>
      <c r="I13" s="85">
        <f t="shared" si="0"/>
        <v>887293</v>
      </c>
      <c r="J13" s="85">
        <f t="shared" si="0"/>
        <v>806930</v>
      </c>
      <c r="K13" s="85">
        <f t="shared" si="0"/>
        <v>997043.33333333349</v>
      </c>
      <c r="L13" s="85">
        <f t="shared" ref="L13:S13" si="1">SUM(L15:L28)</f>
        <v>1205430.8333333333</v>
      </c>
      <c r="M13" s="85">
        <f t="shared" si="1"/>
        <v>1047396.8333333334</v>
      </c>
      <c r="N13" s="86">
        <f t="shared" si="1"/>
        <v>1258750</v>
      </c>
      <c r="O13" s="86">
        <f t="shared" si="1"/>
        <v>1436814</v>
      </c>
      <c r="P13" s="86">
        <f t="shared" si="1"/>
        <v>1558714</v>
      </c>
      <c r="Q13" s="86">
        <f t="shared" si="1"/>
        <v>1664973</v>
      </c>
      <c r="R13" s="86">
        <f t="shared" si="1"/>
        <v>1612156</v>
      </c>
      <c r="S13" s="86">
        <f t="shared" si="1"/>
        <v>1650579</v>
      </c>
      <c r="T13" s="86">
        <v>1654483</v>
      </c>
      <c r="U13" s="86">
        <f>SUM(U15:U27)</f>
        <v>1948749.1666666667</v>
      </c>
      <c r="V13" s="86">
        <f>SUM(V15:V27)</f>
        <v>2025593</v>
      </c>
      <c r="W13" s="86"/>
      <c r="AQ13">
        <v>4932.3999999999996</v>
      </c>
    </row>
    <row r="14" spans="1:43" x14ac:dyDescent="0.2">
      <c r="C14" s="60"/>
      <c r="D14" s="79"/>
      <c r="E14" s="77"/>
      <c r="F14" s="85"/>
      <c r="G14" s="85"/>
      <c r="H14" s="85"/>
      <c r="I14" s="85"/>
      <c r="J14" s="85"/>
      <c r="K14" s="85"/>
      <c r="L14" s="85"/>
      <c r="M14" s="85"/>
      <c r="N14" s="86"/>
      <c r="O14" s="86"/>
      <c r="P14" s="86"/>
      <c r="Q14" s="86"/>
      <c r="R14" s="86"/>
      <c r="S14" s="86"/>
      <c r="T14" s="86"/>
      <c r="U14" s="86"/>
      <c r="V14" s="86"/>
      <c r="W14" s="86"/>
      <c r="AQ14">
        <v>2281.6999999999998</v>
      </c>
    </row>
    <row r="15" spans="1:43" x14ac:dyDescent="0.2">
      <c r="C15" s="60"/>
      <c r="D15" s="81" t="s">
        <v>61</v>
      </c>
      <c r="E15" s="84">
        <v>7867</v>
      </c>
      <c r="F15" s="87">
        <v>12166</v>
      </c>
      <c r="G15" s="87">
        <v>17376</v>
      </c>
      <c r="H15" s="87">
        <v>16278</v>
      </c>
      <c r="I15" s="87">
        <v>16047</v>
      </c>
      <c r="J15" s="87">
        <v>13760</v>
      </c>
      <c r="K15" s="87">
        <v>12435</v>
      </c>
      <c r="L15" s="87">
        <v>17886</v>
      </c>
      <c r="M15" s="87">
        <f>25026/1.2</f>
        <v>20855</v>
      </c>
      <c r="N15" s="84">
        <f>26562/1.2</f>
        <v>22135</v>
      </c>
      <c r="O15" s="61">
        <v>22928</v>
      </c>
      <c r="P15" s="61">
        <v>26810</v>
      </c>
      <c r="Q15" s="88">
        <v>26138</v>
      </c>
      <c r="R15" s="84">
        <v>28647</v>
      </c>
      <c r="S15" s="61">
        <v>29633</v>
      </c>
      <c r="T15" s="61">
        <f>38999/1.2</f>
        <v>32499.166666666668</v>
      </c>
      <c r="U15" s="132">
        <f>32611/1.2</f>
        <v>27175.833333333336</v>
      </c>
      <c r="V15" s="132">
        <v>31122</v>
      </c>
      <c r="W15" s="132"/>
      <c r="AQ15">
        <v>100.2</v>
      </c>
    </row>
    <row r="16" spans="1:43" x14ac:dyDescent="0.2">
      <c r="C16" s="60"/>
      <c r="D16" s="81"/>
      <c r="E16" s="84"/>
      <c r="F16" s="87"/>
      <c r="G16" s="87"/>
      <c r="H16" s="87"/>
      <c r="I16" s="87"/>
      <c r="J16" s="87"/>
      <c r="K16" s="89"/>
      <c r="L16" s="90"/>
      <c r="M16" s="90"/>
      <c r="N16" s="91"/>
      <c r="O16" s="61"/>
      <c r="P16" s="61"/>
      <c r="Q16" s="88"/>
      <c r="R16" s="60"/>
      <c r="S16" s="61"/>
      <c r="T16" s="61"/>
      <c r="U16" s="84"/>
      <c r="V16" s="84"/>
      <c r="W16" s="84"/>
      <c r="AQ16">
        <v>2181.5</v>
      </c>
    </row>
    <row r="17" spans="3:43" x14ac:dyDescent="0.2">
      <c r="C17" s="60"/>
      <c r="D17" s="92"/>
      <c r="E17" s="91"/>
      <c r="F17" s="93"/>
      <c r="G17" s="93"/>
      <c r="H17" s="93"/>
      <c r="I17" s="93"/>
      <c r="J17" s="93"/>
      <c r="K17" s="89"/>
      <c r="L17" s="90"/>
      <c r="M17" s="90"/>
      <c r="N17" s="91"/>
      <c r="O17" s="61"/>
      <c r="P17" s="61"/>
      <c r="Q17" s="88"/>
      <c r="R17" s="60"/>
      <c r="S17" s="61"/>
      <c r="T17" s="61"/>
      <c r="U17" s="84"/>
      <c r="V17" s="84"/>
      <c r="W17" s="84"/>
      <c r="AQ17">
        <v>2650.7</v>
      </c>
    </row>
    <row r="18" spans="3:43" ht="25.5" x14ac:dyDescent="0.2">
      <c r="C18" s="60"/>
      <c r="D18" s="94" t="s">
        <v>44</v>
      </c>
      <c r="E18" s="91">
        <v>52</v>
      </c>
      <c r="F18" s="93">
        <v>56108</v>
      </c>
      <c r="G18" s="93">
        <v>70224</v>
      </c>
      <c r="H18" s="93">
        <v>75410</v>
      </c>
      <c r="I18" s="93">
        <v>77440</v>
      </c>
      <c r="J18" s="93">
        <v>12470</v>
      </c>
      <c r="K18" s="93">
        <v>14865</v>
      </c>
      <c r="L18" s="93">
        <v>16964</v>
      </c>
      <c r="M18" s="93">
        <v>10663</v>
      </c>
      <c r="N18" s="91">
        <f>24376/1.2</f>
        <v>20313.333333333336</v>
      </c>
      <c r="O18" s="91">
        <v>4982</v>
      </c>
      <c r="P18" s="91">
        <v>11515</v>
      </c>
      <c r="Q18" s="91">
        <v>14120</v>
      </c>
      <c r="R18" s="84">
        <v>11209</v>
      </c>
      <c r="S18" s="91">
        <v>24869</v>
      </c>
      <c r="T18" s="91">
        <f>51973/1.2</f>
        <v>43310.833333333336</v>
      </c>
      <c r="U18" s="84">
        <f>47914/1.2</f>
        <v>39928.333333333336</v>
      </c>
      <c r="V18" s="84">
        <v>13819</v>
      </c>
      <c r="W18" s="84"/>
      <c r="AQ18">
        <v>2971.2</v>
      </c>
    </row>
    <row r="19" spans="3:43" x14ac:dyDescent="0.2">
      <c r="C19" s="60"/>
      <c r="D19" s="92"/>
      <c r="E19" s="91">
        <v>4994</v>
      </c>
      <c r="F19" s="93"/>
      <c r="G19" s="93"/>
      <c r="H19" s="93"/>
      <c r="I19" s="93"/>
      <c r="J19" s="93"/>
      <c r="K19" s="89"/>
      <c r="L19" s="90"/>
      <c r="M19" s="89"/>
      <c r="N19" s="91"/>
      <c r="O19" s="61"/>
      <c r="P19" s="61"/>
      <c r="Q19" s="88"/>
      <c r="R19" s="60"/>
      <c r="S19" s="61"/>
      <c r="T19" s="61"/>
      <c r="U19" s="84"/>
      <c r="V19" s="84"/>
      <c r="W19" s="84"/>
      <c r="AQ19">
        <v>243.6</v>
      </c>
    </row>
    <row r="20" spans="3:43" ht="15" x14ac:dyDescent="0.2">
      <c r="C20" s="60"/>
      <c r="D20" s="92" t="s">
        <v>2</v>
      </c>
      <c r="E20" s="91">
        <v>1287</v>
      </c>
      <c r="F20" s="93">
        <v>625</v>
      </c>
      <c r="G20" s="93">
        <v>525</v>
      </c>
      <c r="H20" s="93">
        <v>4456</v>
      </c>
      <c r="I20" s="93">
        <v>523</v>
      </c>
      <c r="J20" s="93">
        <v>8023</v>
      </c>
      <c r="K20" s="93">
        <f>4/1.2</f>
        <v>3.3333333333333335</v>
      </c>
      <c r="L20" s="93">
        <f>3/1.2</f>
        <v>2.5</v>
      </c>
      <c r="M20" s="93">
        <f>4/1.2</f>
        <v>3.3333333333333335</v>
      </c>
      <c r="N20" s="91">
        <v>0</v>
      </c>
      <c r="O20" s="61">
        <v>1417</v>
      </c>
      <c r="P20" s="61">
        <v>1001</v>
      </c>
      <c r="Q20" s="88">
        <v>488</v>
      </c>
      <c r="R20" s="84">
        <v>4950</v>
      </c>
      <c r="S20" s="61">
        <v>4059</v>
      </c>
      <c r="T20" s="61">
        <v>4059</v>
      </c>
      <c r="U20" s="84">
        <f>4871/1.2</f>
        <v>4059.166666666667</v>
      </c>
      <c r="V20" s="84">
        <v>4871</v>
      </c>
      <c r="W20" s="84"/>
      <c r="X20" s="26"/>
      <c r="Y20">
        <v>2007</v>
      </c>
      <c r="Z20">
        <v>2008</v>
      </c>
      <c r="AQ20">
        <v>70.099999999999994</v>
      </c>
    </row>
    <row r="21" spans="3:43" ht="15" x14ac:dyDescent="0.2">
      <c r="C21" s="60"/>
      <c r="D21" s="92"/>
      <c r="E21" s="91"/>
      <c r="F21" s="93"/>
      <c r="G21" s="93"/>
      <c r="H21" s="93"/>
      <c r="I21" s="93"/>
      <c r="J21" s="93"/>
      <c r="K21" s="89"/>
      <c r="L21" s="90"/>
      <c r="M21" s="90"/>
      <c r="N21" s="91"/>
      <c r="O21" s="61"/>
      <c r="P21" s="61"/>
      <c r="Q21" s="88"/>
      <c r="R21" s="60"/>
      <c r="S21" s="61"/>
      <c r="T21" s="61"/>
      <c r="U21" s="84"/>
      <c r="V21" s="84"/>
      <c r="W21" s="84"/>
      <c r="Y21" s="26" t="s">
        <v>64</v>
      </c>
      <c r="Z21" s="24">
        <v>1205043</v>
      </c>
      <c r="AA21" s="48">
        <f>O23</f>
        <v>1315964</v>
      </c>
      <c r="AQ21">
        <v>2657.5</v>
      </c>
    </row>
    <row r="22" spans="3:43" ht="15" x14ac:dyDescent="0.2">
      <c r="C22" s="60"/>
      <c r="D22" s="92" t="s">
        <v>89</v>
      </c>
      <c r="E22" s="91"/>
      <c r="F22" s="93"/>
      <c r="G22" s="93"/>
      <c r="H22" s="93"/>
      <c r="I22" s="93"/>
      <c r="J22" s="93"/>
      <c r="K22" s="89"/>
      <c r="L22" s="90"/>
      <c r="M22" s="90"/>
      <c r="N22" s="91"/>
      <c r="O22" s="61"/>
      <c r="P22" s="61"/>
      <c r="Q22" s="88"/>
      <c r="R22" s="60"/>
      <c r="S22" s="61"/>
      <c r="T22" s="61"/>
      <c r="U22" s="84"/>
      <c r="V22" s="84"/>
      <c r="W22" s="84"/>
      <c r="Y22" s="26" t="s">
        <v>60</v>
      </c>
      <c r="Z22" s="9">
        <v>51488.333333333336</v>
      </c>
      <c r="AA22" s="10">
        <f>O26</f>
        <v>52657</v>
      </c>
      <c r="AQ22">
        <v>-320.5</v>
      </c>
    </row>
    <row r="23" spans="3:43" ht="15" x14ac:dyDescent="0.2">
      <c r="C23" s="60"/>
      <c r="D23" s="95" t="s">
        <v>48</v>
      </c>
      <c r="E23" s="91">
        <v>227043</v>
      </c>
      <c r="F23" s="93">
        <v>535194</v>
      </c>
      <c r="G23" s="93">
        <v>679862</v>
      </c>
      <c r="H23" s="93">
        <v>746313</v>
      </c>
      <c r="I23" s="93">
        <v>740326</v>
      </c>
      <c r="J23" s="93">
        <v>709890</v>
      </c>
      <c r="K23" s="93">
        <f>1124414/1.2</f>
        <v>937011.66666666674</v>
      </c>
      <c r="L23" s="93">
        <f>1302077/1.2</f>
        <v>1085064.1666666667</v>
      </c>
      <c r="M23" s="93">
        <f>1105959/1.2</f>
        <v>921632.5</v>
      </c>
      <c r="N23" s="91">
        <f>1336791/1.2</f>
        <v>1113992.5</v>
      </c>
      <c r="O23" s="91">
        <v>1315964</v>
      </c>
      <c r="P23" s="91">
        <v>1394658</v>
      </c>
      <c r="Q23" s="91">
        <v>1509363</v>
      </c>
      <c r="R23" s="84">
        <v>1481673</v>
      </c>
      <c r="S23" s="91">
        <v>1506593</v>
      </c>
      <c r="T23" s="84">
        <f>1918567/1.2</f>
        <v>1598805.8333333335</v>
      </c>
      <c r="U23" s="84">
        <f>2019863/1.2</f>
        <v>1683219.1666666667</v>
      </c>
      <c r="V23" s="84">
        <v>1869027</v>
      </c>
      <c r="W23" s="84"/>
      <c r="Y23" s="26" t="s">
        <v>59</v>
      </c>
      <c r="Z23" s="9">
        <v>-9104.1666666666679</v>
      </c>
      <c r="AA23" s="48">
        <f>O27</f>
        <v>5333</v>
      </c>
    </row>
    <row r="24" spans="3:43" ht="15" x14ac:dyDescent="0.2">
      <c r="C24" s="60"/>
      <c r="D24" s="78" t="s">
        <v>102</v>
      </c>
      <c r="E24" s="91">
        <v>281</v>
      </c>
      <c r="F24" s="93">
        <v>27</v>
      </c>
      <c r="G24" s="93">
        <v>139</v>
      </c>
      <c r="H24" s="93">
        <v>5</v>
      </c>
      <c r="I24" s="93">
        <v>9214</v>
      </c>
      <c r="J24" s="93">
        <v>9449</v>
      </c>
      <c r="K24" s="93">
        <f>17158/1.2</f>
        <v>14298.333333333334</v>
      </c>
      <c r="L24" s="93">
        <f>26575/1.2</f>
        <v>22145.833333333336</v>
      </c>
      <c r="M24" s="93">
        <f>31956/1.2</f>
        <v>26630</v>
      </c>
      <c r="N24" s="91">
        <f>34908/1.2</f>
        <v>29090</v>
      </c>
      <c r="O24" s="91">
        <v>33533</v>
      </c>
      <c r="P24" s="91">
        <v>36006</v>
      </c>
      <c r="Q24" s="91">
        <v>31743</v>
      </c>
      <c r="R24" s="84">
        <v>19883</v>
      </c>
      <c r="S24" s="91">
        <v>21809</v>
      </c>
      <c r="T24" s="91">
        <f>24271/1.2</f>
        <v>20225.833333333336</v>
      </c>
      <c r="U24" s="84">
        <f>21254/1.2</f>
        <v>17711.666666666668</v>
      </c>
      <c r="V24" s="84">
        <v>11399</v>
      </c>
      <c r="W24" s="84"/>
      <c r="Y24" s="26" t="s">
        <v>61</v>
      </c>
      <c r="Z24" s="9">
        <v>28009.166666666668</v>
      </c>
      <c r="AA24" s="10">
        <f>O15</f>
        <v>22928</v>
      </c>
      <c r="AQ24">
        <v>4932.3999999999996</v>
      </c>
    </row>
    <row r="25" spans="3:43" ht="15" x14ac:dyDescent="0.2">
      <c r="C25" s="60"/>
      <c r="D25" s="92"/>
      <c r="E25" s="91"/>
      <c r="F25" s="93"/>
      <c r="G25" s="93"/>
      <c r="H25" s="90"/>
      <c r="I25" s="93"/>
      <c r="J25" s="93"/>
      <c r="K25" s="89"/>
      <c r="L25" s="90"/>
      <c r="M25" s="90"/>
      <c r="N25" s="91"/>
      <c r="O25" s="61"/>
      <c r="P25" s="61"/>
      <c r="Q25" s="88"/>
      <c r="R25" s="60"/>
      <c r="S25" s="61"/>
      <c r="T25" s="61"/>
      <c r="U25" s="84"/>
      <c r="V25" s="84"/>
      <c r="W25" s="84"/>
      <c r="Y25" s="26" t="str">
        <f>D18</f>
        <v>Balances with Banks &amp; Branches</v>
      </c>
      <c r="Z25" s="9">
        <v>6862.5</v>
      </c>
      <c r="AA25" s="48">
        <f>O18</f>
        <v>4982</v>
      </c>
      <c r="AQ25">
        <v>1209.0999999999999</v>
      </c>
    </row>
    <row r="26" spans="3:43" ht="15" x14ac:dyDescent="0.2">
      <c r="C26" s="60"/>
      <c r="D26" s="81" t="s">
        <v>60</v>
      </c>
      <c r="E26" s="91">
        <v>16428</v>
      </c>
      <c r="F26" s="93">
        <v>26574</v>
      </c>
      <c r="G26" s="93">
        <v>19861</v>
      </c>
      <c r="H26" s="93">
        <v>20808</v>
      </c>
      <c r="I26" s="93">
        <v>23033</v>
      </c>
      <c r="J26" s="93">
        <v>33026</v>
      </c>
      <c r="K26" s="93">
        <v>29410</v>
      </c>
      <c r="L26" s="93">
        <f>33049/1.2</f>
        <v>27540.833333333336</v>
      </c>
      <c r="M26" s="93">
        <f>53670/1.2</f>
        <v>44725</v>
      </c>
      <c r="N26" s="91">
        <f>56267/1.2</f>
        <v>46889.166666666672</v>
      </c>
      <c r="O26" s="61">
        <v>52657</v>
      </c>
      <c r="P26" s="61">
        <v>60398</v>
      </c>
      <c r="Q26" s="88">
        <v>54132</v>
      </c>
      <c r="R26" s="84">
        <v>53518</v>
      </c>
      <c r="S26" s="61">
        <v>45963</v>
      </c>
      <c r="T26" s="61">
        <f>65926/1.2</f>
        <v>54938.333333333336</v>
      </c>
      <c r="U26" s="84">
        <f>53889/1.2</f>
        <v>44907.5</v>
      </c>
      <c r="V26" s="84">
        <v>44786</v>
      </c>
      <c r="W26" s="84"/>
      <c r="Y26" s="26" t="str">
        <f>D20</f>
        <v>Investments</v>
      </c>
      <c r="Z26" s="41" t="e">
        <f>#REF!</f>
        <v>#REF!</v>
      </c>
      <c r="AA26" s="10">
        <f>O20</f>
        <v>1417</v>
      </c>
      <c r="AQ26">
        <v>95.5</v>
      </c>
    </row>
    <row r="27" spans="3:43" x14ac:dyDescent="0.2">
      <c r="C27" s="60"/>
      <c r="D27" s="81" t="s">
        <v>59</v>
      </c>
      <c r="E27" s="91">
        <v>11122</v>
      </c>
      <c r="F27" s="93">
        <v>10741</v>
      </c>
      <c r="G27" s="93">
        <v>67657</v>
      </c>
      <c r="H27" s="93">
        <v>24272</v>
      </c>
      <c r="I27" s="93">
        <v>20710</v>
      </c>
      <c r="J27" s="93">
        <v>20312</v>
      </c>
      <c r="K27" s="93">
        <v>-10980</v>
      </c>
      <c r="L27" s="93">
        <f>42993/1.2</f>
        <v>35827.5</v>
      </c>
      <c r="M27" s="93">
        <v>22888</v>
      </c>
      <c r="N27" s="91">
        <f>31596/1.2</f>
        <v>26330</v>
      </c>
      <c r="O27" s="91">
        <v>5333</v>
      </c>
      <c r="P27" s="91">
        <v>28326</v>
      </c>
      <c r="Q27" s="91">
        <v>28989</v>
      </c>
      <c r="R27" s="84">
        <v>12276</v>
      </c>
      <c r="S27" s="91">
        <v>17653</v>
      </c>
      <c r="T27" s="91">
        <f>27952/1.2</f>
        <v>23293.333333333336</v>
      </c>
      <c r="U27" s="84">
        <f>158097/1.2</f>
        <v>131747.5</v>
      </c>
      <c r="V27" s="84">
        <v>50569</v>
      </c>
      <c r="W27" s="84"/>
      <c r="AQ27">
        <v>1113.5999999999999</v>
      </c>
    </row>
    <row r="28" spans="3:43" hidden="1" x14ac:dyDescent="0.2">
      <c r="C28" s="60"/>
      <c r="D28" s="92" t="s">
        <v>3</v>
      </c>
      <c r="E28" s="91">
        <v>32135</v>
      </c>
      <c r="F28" s="93">
        <v>17154</v>
      </c>
      <c r="G28" s="93">
        <v>21101</v>
      </c>
      <c r="H28" s="93">
        <v>23119</v>
      </c>
      <c r="I28" s="93">
        <v>83726</v>
      </c>
      <c r="J28" s="90"/>
      <c r="K28" s="89"/>
      <c r="L28" s="89"/>
      <c r="M28" s="89"/>
      <c r="N28" s="91"/>
      <c r="O28" s="91">
        <v>0</v>
      </c>
      <c r="P28" s="61"/>
      <c r="Q28" s="61"/>
      <c r="R28" s="88"/>
      <c r="S28" s="60"/>
      <c r="T28" s="60"/>
      <c r="U28" s="60"/>
      <c r="V28" s="60"/>
      <c r="W28" s="60"/>
      <c r="AQ28">
        <v>460.6</v>
      </c>
    </row>
    <row r="29" spans="3:43" x14ac:dyDescent="0.2">
      <c r="C29" s="57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AQ29">
        <v>653</v>
      </c>
    </row>
    <row r="30" spans="3:43" ht="15" x14ac:dyDescent="0.2">
      <c r="C30" s="5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105"/>
      <c r="V30" s="105"/>
      <c r="AQ30">
        <v>3723.3</v>
      </c>
    </row>
    <row r="31" spans="3:43" ht="15" x14ac:dyDescent="0.2">
      <c r="C31" s="57"/>
      <c r="D31" s="66" t="s">
        <v>105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105"/>
      <c r="V31" s="105"/>
      <c r="AQ31">
        <v>3382</v>
      </c>
    </row>
    <row r="32" spans="3:43" x14ac:dyDescent="0.2">
      <c r="C32" s="7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81"/>
    </row>
    <row r="33" spans="3:25" x14ac:dyDescent="0.2">
      <c r="C33" s="7"/>
      <c r="E33" s="21"/>
      <c r="F33" s="21"/>
      <c r="G33" s="21"/>
      <c r="H33" s="21"/>
      <c r="I33" s="21"/>
      <c r="J33" s="21"/>
      <c r="K33" s="8"/>
      <c r="L33" s="8"/>
      <c r="M33" s="40"/>
      <c r="N33" s="40"/>
      <c r="O33" s="40"/>
      <c r="P33" s="40"/>
      <c r="Q33" s="40"/>
      <c r="R33" s="40"/>
      <c r="S33" s="40" t="s">
        <v>20</v>
      </c>
      <c r="T33" s="40"/>
      <c r="V33" s="19"/>
      <c r="W33" s="16"/>
    </row>
    <row r="34" spans="3:25" x14ac:dyDescent="0.2">
      <c r="C34" s="7"/>
      <c r="D34" s="7"/>
      <c r="E34" s="7"/>
      <c r="V34" s="5"/>
      <c r="W34" s="15"/>
      <c r="X34" s="9"/>
      <c r="Y34" s="15"/>
    </row>
    <row r="35" spans="3:25" x14ac:dyDescent="0.2">
      <c r="C35" s="7"/>
      <c r="D35" s="7"/>
      <c r="E35" s="7"/>
      <c r="V35" s="5"/>
      <c r="W35" s="15"/>
      <c r="X35" s="9"/>
      <c r="Y35" s="15"/>
    </row>
    <row r="36" spans="3:25" ht="14.25" x14ac:dyDescent="0.2">
      <c r="C36" s="2"/>
    </row>
    <row r="37" spans="3:25" ht="14.25" x14ac:dyDescent="0.2">
      <c r="C37" s="2"/>
    </row>
    <row r="38" spans="3:25" ht="14.25" x14ac:dyDescent="0.2">
      <c r="C38" s="2"/>
      <c r="D38" s="13"/>
    </row>
    <row r="39" spans="3:25" ht="14.25" x14ac:dyDescent="0.2">
      <c r="C39" s="2"/>
      <c r="D39" s="13"/>
    </row>
    <row r="40" spans="3:25" ht="14.25" x14ac:dyDescent="0.2">
      <c r="C40" s="2"/>
      <c r="D40" s="13"/>
    </row>
    <row r="41" spans="3:25" ht="14.25" x14ac:dyDescent="0.2">
      <c r="C41" s="2"/>
      <c r="D41" s="13"/>
    </row>
    <row r="42" spans="3:25" ht="14.25" x14ac:dyDescent="0.2">
      <c r="C42" s="2"/>
      <c r="D42" s="13"/>
    </row>
    <row r="43" spans="3:25" ht="14.25" x14ac:dyDescent="0.2">
      <c r="C43" s="2"/>
      <c r="D43" s="13"/>
    </row>
    <row r="44" spans="3:25" ht="14.25" x14ac:dyDescent="0.2">
      <c r="C44" s="2"/>
      <c r="D44" s="13"/>
    </row>
    <row r="45" spans="3:25" ht="14.25" x14ac:dyDescent="0.2">
      <c r="C45" s="2"/>
      <c r="D45" s="13"/>
    </row>
    <row r="46" spans="3:25" ht="14.25" x14ac:dyDescent="0.2">
      <c r="C46" s="2"/>
      <c r="D46" s="13"/>
    </row>
    <row r="47" spans="3:25" ht="14.25" x14ac:dyDescent="0.2">
      <c r="C47" s="2"/>
      <c r="D47" s="13"/>
    </row>
    <row r="48" spans="3:25" ht="14.25" x14ac:dyDescent="0.2">
      <c r="C48" s="2"/>
      <c r="D48" s="13"/>
    </row>
    <row r="49" spans="3:42" ht="14.25" x14ac:dyDescent="0.2">
      <c r="C49" s="2"/>
      <c r="D49" s="13"/>
    </row>
    <row r="50" spans="3:42" ht="14.25" x14ac:dyDescent="0.2">
      <c r="C50" s="2"/>
      <c r="D50" s="13"/>
    </row>
    <row r="52" spans="3:42" ht="14.25" x14ac:dyDescent="0.2">
      <c r="C52" s="2"/>
    </row>
    <row r="53" spans="3:42" x14ac:dyDescent="0.2">
      <c r="C53" s="3"/>
      <c r="D53" s="3"/>
      <c r="E53" s="3"/>
      <c r="F53" s="3"/>
      <c r="G53" s="3"/>
      <c r="H53" s="3"/>
      <c r="I53" s="3"/>
      <c r="J53" s="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3:42" s="22" customFormat="1" ht="9" customHeight="1" x14ac:dyDescent="0.2">
      <c r="C54" s="23"/>
      <c r="D54" s="23"/>
      <c r="E54" s="23"/>
      <c r="F54" s="23"/>
      <c r="G54" s="23"/>
      <c r="H54" s="23"/>
      <c r="I54" s="23"/>
      <c r="J54" s="2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3:42" x14ac:dyDescent="0.2">
      <c r="C55" s="239">
        <f>'.01'!B68:AN68+1</f>
        <v>1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4"/>
    </row>
  </sheetData>
  <mergeCells count="2">
    <mergeCell ref="L4:S4"/>
    <mergeCell ref="C55:S55"/>
  </mergeCells>
  <phoneticPr fontId="7" type="noConversion"/>
  <printOptions horizontalCentered="1"/>
  <pageMargins left="1" right="1" top="1" bottom="1" header="0.5" footer="0.24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2</xdr:col>
                <xdr:colOff>190500</xdr:colOff>
                <xdr:row>1</xdr:row>
                <xdr:rowOff>28575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4:AS79"/>
  <sheetViews>
    <sheetView view="pageBreakPreview" topLeftCell="A5" zoomScaleNormal="100" zoomScaleSheetLayoutView="100" workbookViewId="0">
      <selection activeCell="C8" sqref="C8:O9"/>
    </sheetView>
  </sheetViews>
  <sheetFormatPr defaultRowHeight="12.75" x14ac:dyDescent="0.2"/>
  <cols>
    <col min="1" max="1" width="3.85546875" customWidth="1"/>
    <col min="2" max="2" width="7.7109375" customWidth="1"/>
    <col min="3" max="3" width="20.28515625" customWidth="1"/>
    <col min="4" max="6" width="8.42578125" hidden="1" customWidth="1"/>
    <col min="7" max="8" width="8.5703125" hidden="1" customWidth="1"/>
    <col min="9" max="9" width="10.140625" hidden="1" customWidth="1"/>
    <col min="10" max="13" width="13.28515625" hidden="1" customWidth="1"/>
    <col min="14" max="15" width="13.28515625" customWidth="1"/>
    <col min="16" max="16" width="11.140625" customWidth="1"/>
    <col min="17" max="17" width="11.85546875" customWidth="1"/>
    <col min="18" max="18" width="10.28515625" bestFit="1" customWidth="1"/>
    <col min="19" max="19" width="10.42578125" bestFit="1" customWidth="1"/>
    <col min="21" max="21" width="11.28515625" bestFit="1" customWidth="1"/>
    <col min="22" max="22" width="9.5703125" bestFit="1" customWidth="1"/>
    <col min="27" max="27" width="10.7109375" customWidth="1"/>
  </cols>
  <sheetData>
    <row r="4" spans="2:45" ht="15" x14ac:dyDescent="0.25">
      <c r="H4" s="238" t="s">
        <v>188</v>
      </c>
      <c r="I4" s="238"/>
      <c r="J4" s="238"/>
      <c r="K4" s="238"/>
      <c r="L4" s="238"/>
      <c r="M4" s="238"/>
      <c r="N4" s="238"/>
      <c r="O4" s="238"/>
      <c r="P4" s="39"/>
    </row>
    <row r="5" spans="2:45" s="22" customFormat="1" ht="9" customHeight="1" x14ac:dyDescent="0.2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8" spans="2:45" ht="15.75" customHeight="1" x14ac:dyDescent="0.25">
      <c r="B8" s="59">
        <v>12.04</v>
      </c>
      <c r="C8" s="240" t="s">
        <v>189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31"/>
      <c r="Q8" s="60"/>
      <c r="R8" s="60"/>
    </row>
    <row r="9" spans="2:45" ht="15.75" x14ac:dyDescent="0.25">
      <c r="B9" s="5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131"/>
      <c r="Q9" s="60"/>
      <c r="R9" s="60"/>
    </row>
    <row r="10" spans="2:45" x14ac:dyDescent="0.2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2:45" x14ac:dyDescent="0.2">
      <c r="B11" s="60"/>
      <c r="D11" s="243" t="s">
        <v>128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</row>
    <row r="12" spans="2:45" x14ac:dyDescent="0.2">
      <c r="B12" s="57"/>
      <c r="C12" s="68"/>
      <c r="D12" s="69">
        <v>1999</v>
      </c>
      <c r="E12" s="70">
        <v>2000</v>
      </c>
      <c r="F12" s="71">
        <v>2001</v>
      </c>
      <c r="G12" s="70" t="s">
        <v>43</v>
      </c>
      <c r="H12" s="71">
        <v>2003</v>
      </c>
      <c r="I12" s="71">
        <v>2004</v>
      </c>
      <c r="J12" s="71">
        <v>2005</v>
      </c>
      <c r="K12" s="71">
        <v>2006</v>
      </c>
      <c r="L12" s="71">
        <v>2009</v>
      </c>
      <c r="M12" s="71">
        <v>2010</v>
      </c>
      <c r="N12" s="72">
        <v>2011</v>
      </c>
      <c r="O12" s="71">
        <v>2012</v>
      </c>
      <c r="P12" s="71">
        <v>2013</v>
      </c>
      <c r="Q12" s="71">
        <v>2014</v>
      </c>
      <c r="R12" s="71">
        <v>2015</v>
      </c>
      <c r="S12" s="71">
        <v>2016</v>
      </c>
    </row>
    <row r="13" spans="2:45" x14ac:dyDescent="0.2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AS13">
        <v>4932.3999999999996</v>
      </c>
    </row>
    <row r="14" spans="2:45" x14ac:dyDescent="0.2">
      <c r="B14" s="60"/>
      <c r="C14" s="65" t="s">
        <v>5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AS14">
        <v>2281.6999999999998</v>
      </c>
    </row>
    <row r="15" spans="2:45" x14ac:dyDescent="0.2">
      <c r="B15" s="60"/>
      <c r="C15" s="60" t="s">
        <v>71</v>
      </c>
      <c r="D15" s="61">
        <v>124132</v>
      </c>
      <c r="E15" s="61">
        <v>132514</v>
      </c>
      <c r="F15" s="61">
        <v>152285</v>
      </c>
      <c r="G15" s="84">
        <f>(188460+3547)/1.2</f>
        <v>160005.83333333334</v>
      </c>
      <c r="H15" s="84">
        <f>349364+2947</f>
        <v>352311</v>
      </c>
      <c r="I15" s="84">
        <f>628122+20354</f>
        <v>648476</v>
      </c>
      <c r="J15" s="84">
        <f>305588+10163</f>
        <v>315751</v>
      </c>
      <c r="K15" s="61">
        <f>319844/1.2</f>
        <v>266536.66666666669</v>
      </c>
      <c r="L15" s="61">
        <v>254508</v>
      </c>
      <c r="M15" s="61">
        <v>298898</v>
      </c>
      <c r="N15" s="61">
        <v>237707</v>
      </c>
      <c r="O15" s="61">
        <v>337013</v>
      </c>
      <c r="P15" s="61">
        <v>403082</v>
      </c>
      <c r="Q15" s="61">
        <f>'[1]CI$th'!$AM$46</f>
        <v>460587.5</v>
      </c>
      <c r="R15" s="61">
        <v>606312</v>
      </c>
      <c r="S15" s="61">
        <f>Liabilities!E51</f>
        <v>595925</v>
      </c>
      <c r="U15" s="5">
        <v>257670.83333333334</v>
      </c>
      <c r="AS15">
        <v>100.2</v>
      </c>
    </row>
    <row r="16" spans="2:45" x14ac:dyDescent="0.2">
      <c r="B16" s="60"/>
      <c r="C16" s="60" t="s">
        <v>6</v>
      </c>
      <c r="D16" s="61">
        <v>91613</v>
      </c>
      <c r="E16" s="61">
        <v>101608</v>
      </c>
      <c r="F16" s="61">
        <v>99826</v>
      </c>
      <c r="G16" s="84">
        <v>120440</v>
      </c>
      <c r="H16" s="84">
        <f>119618+4553</f>
        <v>124171</v>
      </c>
      <c r="I16" s="84">
        <f>224643+7270</f>
        <v>231913</v>
      </c>
      <c r="J16" s="84">
        <f>206715+15631</f>
        <v>222346</v>
      </c>
      <c r="K16" s="61">
        <f>246052/1.2</f>
        <v>205043.33333333334</v>
      </c>
      <c r="L16" s="61">
        <v>230244</v>
      </c>
      <c r="M16" s="61">
        <v>241088</v>
      </c>
      <c r="N16" s="61">
        <v>263707</v>
      </c>
      <c r="O16" s="61">
        <v>323232</v>
      </c>
      <c r="P16" s="61">
        <v>268218</v>
      </c>
      <c r="Q16" s="61">
        <f>'[1]CI$th'!$AM$49</f>
        <v>276093.33333333337</v>
      </c>
      <c r="R16" s="61">
        <v>364820</v>
      </c>
      <c r="S16" s="61">
        <f>Liabilities!F51</f>
        <v>323910.83333333337</v>
      </c>
      <c r="U16">
        <v>211685</v>
      </c>
      <c r="AS16">
        <v>2181.5</v>
      </c>
    </row>
    <row r="17" spans="2:45" x14ac:dyDescent="0.2">
      <c r="B17" s="60"/>
      <c r="C17" s="60" t="s">
        <v>7</v>
      </c>
      <c r="D17" s="61">
        <v>289879</v>
      </c>
      <c r="E17" s="61">
        <v>323961</v>
      </c>
      <c r="F17" s="61">
        <v>277661</v>
      </c>
      <c r="G17" s="84">
        <v>254401</v>
      </c>
      <c r="H17" s="84">
        <f>253114+6293</f>
        <v>259407</v>
      </c>
      <c r="I17" s="84">
        <f>267285+6399</f>
        <v>273684</v>
      </c>
      <c r="J17" s="84">
        <f>333400+10240</f>
        <v>343640</v>
      </c>
      <c r="K17" s="61">
        <f>511911/1.2</f>
        <v>426592.5</v>
      </c>
      <c r="L17" s="61">
        <v>389888</v>
      </c>
      <c r="M17" s="61">
        <v>355961</v>
      </c>
      <c r="N17" s="61">
        <v>344263</v>
      </c>
      <c r="O17" s="61">
        <v>363198</v>
      </c>
      <c r="P17" s="61">
        <v>339166</v>
      </c>
      <c r="Q17" s="61">
        <f>'[1]CI$th'!$AM$50</f>
        <v>376867.5</v>
      </c>
      <c r="R17" s="61">
        <v>573057</v>
      </c>
      <c r="S17" s="61">
        <f>Liabilities!G51</f>
        <v>498855</v>
      </c>
      <c r="U17">
        <v>485806.66666666669</v>
      </c>
      <c r="AS17">
        <v>2650.7</v>
      </c>
    </row>
    <row r="18" spans="2:45" x14ac:dyDescent="0.2">
      <c r="B18" s="60"/>
      <c r="C18" s="65" t="s">
        <v>102</v>
      </c>
      <c r="D18" s="61"/>
      <c r="E18" s="61"/>
      <c r="F18" s="61"/>
      <c r="G18" s="84"/>
      <c r="H18" s="84"/>
      <c r="I18" s="84"/>
      <c r="J18" s="84"/>
      <c r="K18" s="61"/>
      <c r="L18" s="61"/>
      <c r="M18" s="61">
        <v>42045</v>
      </c>
      <c r="N18" s="61">
        <v>36763</v>
      </c>
      <c r="O18" s="61">
        <v>35893</v>
      </c>
      <c r="P18" s="61">
        <v>36980</v>
      </c>
      <c r="Q18" s="61">
        <v>33117</v>
      </c>
      <c r="R18" s="61">
        <v>52255</v>
      </c>
      <c r="S18" s="61"/>
    </row>
    <row r="19" spans="2:45" x14ac:dyDescent="0.2">
      <c r="B19" s="60"/>
      <c r="C19" s="60"/>
      <c r="D19" s="60"/>
      <c r="E19" s="61"/>
      <c r="F19" s="60"/>
      <c r="G19" s="81"/>
      <c r="H19" s="81"/>
      <c r="I19" s="81"/>
      <c r="J19" s="81"/>
      <c r="K19" s="61"/>
      <c r="L19" s="61"/>
      <c r="M19" s="61"/>
      <c r="N19" s="60"/>
      <c r="O19" s="61"/>
      <c r="P19" s="61"/>
      <c r="Q19" s="61"/>
      <c r="R19" s="61"/>
      <c r="S19" s="61"/>
      <c r="AS19">
        <v>2971.2</v>
      </c>
    </row>
    <row r="20" spans="2:45" x14ac:dyDescent="0.2">
      <c r="B20" s="60"/>
      <c r="C20" s="79" t="s">
        <v>8</v>
      </c>
      <c r="D20" s="77">
        <f t="shared" ref="D20:I20" si="0">SUM(D15:D19)</f>
        <v>505624</v>
      </c>
      <c r="E20" s="77">
        <f t="shared" si="0"/>
        <v>558083</v>
      </c>
      <c r="F20" s="77">
        <f t="shared" si="0"/>
        <v>529772</v>
      </c>
      <c r="G20" s="98">
        <f>SUM(G15:G19)</f>
        <v>534846.83333333337</v>
      </c>
      <c r="H20" s="98">
        <f t="shared" si="0"/>
        <v>735889</v>
      </c>
      <c r="I20" s="98">
        <f t="shared" si="0"/>
        <v>1154073</v>
      </c>
      <c r="J20" s="98">
        <f t="shared" ref="J20:O20" si="1">SUM(J15:J19)</f>
        <v>881737</v>
      </c>
      <c r="K20" s="98">
        <f t="shared" si="1"/>
        <v>898172.5</v>
      </c>
      <c r="L20" s="98">
        <f t="shared" si="1"/>
        <v>874640</v>
      </c>
      <c r="M20" s="98">
        <f>SUM(M15:M18)</f>
        <v>937992</v>
      </c>
      <c r="N20" s="98">
        <f t="shared" si="1"/>
        <v>882440</v>
      </c>
      <c r="O20" s="98">
        <f t="shared" si="1"/>
        <v>1059336</v>
      </c>
      <c r="P20" s="98">
        <v>1010464</v>
      </c>
      <c r="Q20" s="98">
        <f>SUM(Q15:Q17)</f>
        <v>1113548.3333333335</v>
      </c>
      <c r="R20" s="98">
        <f>SUM(R15:R18)</f>
        <v>1596444</v>
      </c>
      <c r="S20" s="98"/>
      <c r="AS20">
        <v>243.6</v>
      </c>
    </row>
    <row r="21" spans="2:45" x14ac:dyDescent="0.2">
      <c r="B21" s="60"/>
      <c r="C21" s="79"/>
      <c r="D21" s="60"/>
      <c r="E21" s="61"/>
      <c r="F21" s="60"/>
      <c r="G21" s="92"/>
      <c r="H21" s="92"/>
      <c r="I21" s="92"/>
      <c r="J21" s="92"/>
      <c r="K21" s="61"/>
      <c r="L21" s="61"/>
      <c r="M21" s="61"/>
      <c r="N21" s="60"/>
      <c r="O21" s="61"/>
      <c r="P21" s="61"/>
      <c r="Q21" s="61"/>
      <c r="R21" s="61"/>
      <c r="S21" s="61"/>
      <c r="AS21">
        <v>70.099999999999994</v>
      </c>
    </row>
    <row r="22" spans="2:45" x14ac:dyDescent="0.2">
      <c r="B22" s="60"/>
      <c r="C22" s="60" t="s">
        <v>9</v>
      </c>
      <c r="D22" s="61">
        <v>31343</v>
      </c>
      <c r="E22" s="61">
        <v>59467</v>
      </c>
      <c r="F22" s="61">
        <v>66694</v>
      </c>
      <c r="G22" s="91">
        <v>139706</v>
      </c>
      <c r="H22" s="91">
        <v>90845</v>
      </c>
      <c r="I22" s="91">
        <v>26563</v>
      </c>
      <c r="J22" s="91">
        <v>166627</v>
      </c>
      <c r="K22" s="61">
        <f>68897/1.2</f>
        <v>57414.166666666672</v>
      </c>
      <c r="L22" s="61">
        <v>186159</v>
      </c>
      <c r="M22" s="61">
        <v>65939</v>
      </c>
      <c r="N22" s="61">
        <v>23463</v>
      </c>
      <c r="O22" s="61">
        <v>-12213</v>
      </c>
      <c r="P22" s="61">
        <f>-95799/1.2</f>
        <v>-79832.5</v>
      </c>
      <c r="Q22" s="61">
        <v>-17410</v>
      </c>
      <c r="R22" s="61">
        <v>-43477</v>
      </c>
      <c r="S22" s="61"/>
      <c r="AS22">
        <v>2657.5</v>
      </c>
    </row>
    <row r="23" spans="2:45" x14ac:dyDescent="0.2">
      <c r="B23" s="60"/>
      <c r="C23" s="60"/>
      <c r="D23" s="61"/>
      <c r="E23" s="61"/>
      <c r="F23" s="61"/>
      <c r="G23" s="91"/>
      <c r="H23" s="91"/>
      <c r="I23" s="91"/>
      <c r="J23" s="91"/>
      <c r="K23" s="61"/>
      <c r="L23" s="61"/>
      <c r="M23" s="61"/>
      <c r="N23" s="61"/>
      <c r="O23" s="61"/>
      <c r="P23" s="61"/>
      <c r="Q23" s="61"/>
      <c r="R23" s="61"/>
      <c r="S23" s="61"/>
      <c r="AS23">
        <v>-320.5</v>
      </c>
    </row>
    <row r="24" spans="2:45" x14ac:dyDescent="0.2">
      <c r="B24" s="60"/>
      <c r="C24" s="81" t="s">
        <v>159</v>
      </c>
      <c r="D24" s="99" t="s">
        <v>45</v>
      </c>
      <c r="E24" s="99" t="s">
        <v>45</v>
      </c>
      <c r="F24" s="99" t="s">
        <v>45</v>
      </c>
      <c r="G24" s="100" t="s">
        <v>45</v>
      </c>
      <c r="H24" s="91">
        <v>85424</v>
      </c>
      <c r="I24" s="91">
        <v>58283</v>
      </c>
      <c r="J24" s="91">
        <v>94637</v>
      </c>
      <c r="K24" s="61">
        <f>241987/1.2</f>
        <v>201655.83333333334</v>
      </c>
      <c r="L24" s="61">
        <v>366934</v>
      </c>
      <c r="M24" s="61">
        <v>520008</v>
      </c>
      <c r="N24" s="61">
        <v>566034</v>
      </c>
      <c r="O24" s="61">
        <v>597106</v>
      </c>
      <c r="P24" s="61">
        <f>770211/1.2</f>
        <v>641842.5</v>
      </c>
      <c r="Q24" s="61">
        <v>621397</v>
      </c>
      <c r="R24" s="61">
        <v>543469</v>
      </c>
      <c r="S24" s="61"/>
    </row>
    <row r="25" spans="2:45" x14ac:dyDescent="0.2">
      <c r="B25" s="60"/>
      <c r="C25" s="60"/>
      <c r="D25" s="60"/>
      <c r="E25" s="61"/>
      <c r="F25" s="61"/>
      <c r="G25" s="91"/>
      <c r="H25" s="92"/>
      <c r="I25" s="92"/>
      <c r="J25" s="92"/>
      <c r="K25" s="61"/>
      <c r="L25" s="61"/>
      <c r="M25" s="61"/>
      <c r="N25" s="60"/>
      <c r="O25" s="61"/>
      <c r="P25" s="61"/>
      <c r="Q25" s="61"/>
      <c r="R25" s="61"/>
      <c r="S25" s="61"/>
      <c r="AS25">
        <v>4932.3999999999996</v>
      </c>
    </row>
    <row r="26" spans="2:45" x14ac:dyDescent="0.2">
      <c r="B26" s="60"/>
      <c r="C26" s="241" t="s">
        <v>174</v>
      </c>
      <c r="D26" s="77">
        <f t="shared" ref="D26:K26" si="2">SUM(D20:D25)</f>
        <v>536967</v>
      </c>
      <c r="E26" s="77">
        <f t="shared" si="2"/>
        <v>617550</v>
      </c>
      <c r="F26" s="77">
        <f t="shared" si="2"/>
        <v>596466</v>
      </c>
      <c r="G26" s="77">
        <f t="shared" si="2"/>
        <v>674552.83333333337</v>
      </c>
      <c r="H26" s="77">
        <f t="shared" si="2"/>
        <v>912158</v>
      </c>
      <c r="I26" s="77">
        <f t="shared" si="2"/>
        <v>1238919</v>
      </c>
      <c r="J26" s="77">
        <f t="shared" si="2"/>
        <v>1143001</v>
      </c>
      <c r="K26" s="77">
        <f t="shared" si="2"/>
        <v>1157242.5</v>
      </c>
      <c r="L26" s="101">
        <f>SUM(L20:L25)</f>
        <v>1427733</v>
      </c>
      <c r="M26" s="101">
        <f>SUM(M20:M25)</f>
        <v>1523939</v>
      </c>
      <c r="N26" s="101">
        <f>SUM(N20:N25)</f>
        <v>1471937</v>
      </c>
      <c r="O26" s="101">
        <f>SUM(O20:O25)</f>
        <v>1644229</v>
      </c>
      <c r="P26" s="101">
        <f>1931347/1.2</f>
        <v>1609455.8333333335</v>
      </c>
      <c r="Q26" s="101">
        <v>1903882</v>
      </c>
      <c r="R26" s="101">
        <v>2096436</v>
      </c>
      <c r="S26" s="101"/>
      <c r="AS26">
        <v>1209.0999999999999</v>
      </c>
    </row>
    <row r="27" spans="2:45" x14ac:dyDescent="0.2">
      <c r="B27" s="60"/>
      <c r="C27" s="2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AS27">
        <v>95.5</v>
      </c>
    </row>
    <row r="28" spans="2:45" ht="14.25" hidden="1" x14ac:dyDescent="0.2">
      <c r="B28" s="60"/>
      <c r="C28" s="60" t="s">
        <v>10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AS28">
        <v>1113.5999999999999</v>
      </c>
    </row>
    <row r="29" spans="2:45" hidden="1" x14ac:dyDescent="0.2">
      <c r="B29" s="60"/>
      <c r="C29" s="60" t="s">
        <v>11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AS29">
        <v>460.6</v>
      </c>
    </row>
    <row r="30" spans="2:45" hidden="1" x14ac:dyDescent="0.2">
      <c r="B30" s="67"/>
      <c r="C30" s="67"/>
      <c r="D30" s="67"/>
      <c r="E30" s="67"/>
      <c r="F30" s="60"/>
      <c r="G30" s="60"/>
      <c r="H30" s="60"/>
      <c r="I30" s="60"/>
      <c r="J30" s="60"/>
      <c r="K30" s="60"/>
      <c r="L30" s="60"/>
      <c r="M30" s="60"/>
      <c r="N30" s="60"/>
      <c r="O30" s="60"/>
      <c r="AS30">
        <v>653</v>
      </c>
    </row>
    <row r="31" spans="2:45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Z31" s="46" t="s">
        <v>68</v>
      </c>
      <c r="AA31" s="16" t="s">
        <v>69</v>
      </c>
      <c r="AS31">
        <v>3723.3</v>
      </c>
    </row>
    <row r="32" spans="2:45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Z32" s="46"/>
      <c r="AA32" s="16"/>
      <c r="AS32">
        <v>3382</v>
      </c>
    </row>
    <row r="33" spans="1:31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Z33" s="46"/>
      <c r="AA33" s="16"/>
    </row>
    <row r="34" spans="1:31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Z34" s="30">
        <v>2000</v>
      </c>
      <c r="AA34" s="32">
        <f>E20</f>
        <v>558083</v>
      </c>
    </row>
    <row r="35" spans="1:31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U35" s="16"/>
      <c r="V35" s="16"/>
      <c r="Z35" s="30">
        <v>2001</v>
      </c>
      <c r="AA35" s="32">
        <f>F20</f>
        <v>529772</v>
      </c>
    </row>
    <row r="36" spans="1:31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V36" s="9">
        <f>J15</f>
        <v>315751</v>
      </c>
      <c r="Z36" s="30">
        <v>2002</v>
      </c>
      <c r="AA36" s="32">
        <f>G20</f>
        <v>534846.83333333337</v>
      </c>
    </row>
    <row r="37" spans="1:31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V37" s="9">
        <f>J16</f>
        <v>222346</v>
      </c>
      <c r="Z37" s="30">
        <v>2003</v>
      </c>
      <c r="AA37" s="32">
        <f>H20</f>
        <v>735889</v>
      </c>
    </row>
    <row r="38" spans="1:31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V38" s="9">
        <f>J17</f>
        <v>343640</v>
      </c>
      <c r="Z38" s="30">
        <v>2004</v>
      </c>
      <c r="AA38" s="32">
        <f>I20</f>
        <v>1154073</v>
      </c>
    </row>
    <row r="39" spans="1:31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V39" s="9">
        <f>J24</f>
        <v>94637</v>
      </c>
      <c r="Z39" s="30">
        <v>2005</v>
      </c>
      <c r="AA39" s="32">
        <f>J20</f>
        <v>881737</v>
      </c>
    </row>
    <row r="40" spans="1:31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V40" s="9">
        <f>J22</f>
        <v>166627</v>
      </c>
      <c r="Z40" s="30">
        <v>2006</v>
      </c>
      <c r="AA40" s="32">
        <f>K20</f>
        <v>898172.5</v>
      </c>
    </row>
    <row r="41" spans="1:31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Z41" s="30">
        <v>2007</v>
      </c>
      <c r="AA41" s="32" t="e">
        <f>#REF!</f>
        <v>#REF!</v>
      </c>
    </row>
    <row r="42" spans="1:3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Z42" s="30">
        <v>2008</v>
      </c>
      <c r="AA42" s="32" t="e">
        <f>#REF!</f>
        <v>#REF!</v>
      </c>
    </row>
    <row r="43" spans="1:31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Z43" s="30">
        <v>2009</v>
      </c>
      <c r="AA43" s="9">
        <f>L20</f>
        <v>874640</v>
      </c>
    </row>
    <row r="44" spans="1:3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Z44" s="30">
        <v>2010</v>
      </c>
      <c r="AA44" s="9">
        <f>M20</f>
        <v>937992</v>
      </c>
    </row>
    <row r="45" spans="1:31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Z45" s="8">
        <v>2011</v>
      </c>
      <c r="AA45" s="9">
        <f>N20</f>
        <v>882440</v>
      </c>
    </row>
    <row r="46" spans="1:31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Z46" s="8">
        <v>2012</v>
      </c>
      <c r="AA46" s="9">
        <f>O20</f>
        <v>1059336</v>
      </c>
    </row>
    <row r="47" spans="1:31" s="1" customFormat="1" x14ac:dyDescent="0.2">
      <c r="A47" s="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7"/>
      <c r="T47" s="7"/>
      <c r="U47" s="7"/>
      <c r="V47" s="7"/>
      <c r="W47" s="7"/>
      <c r="X47" s="7"/>
      <c r="Y47" s="7"/>
      <c r="Z47" s="21">
        <v>2013</v>
      </c>
      <c r="AA47" s="128">
        <v>1010464</v>
      </c>
      <c r="AB47" s="7"/>
      <c r="AC47" s="7"/>
      <c r="AD47" s="7"/>
      <c r="AE47" s="7"/>
    </row>
    <row r="48" spans="1:31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Z48" s="130">
        <v>2014</v>
      </c>
      <c r="AA48" s="128">
        <v>1113548</v>
      </c>
    </row>
    <row r="49" spans="2:27" ht="14.25" hidden="1" customHeight="1" x14ac:dyDescent="0.2">
      <c r="B49" s="79" t="s">
        <v>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2:27" hidden="1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2:27" ht="14.25" hidden="1" x14ac:dyDescent="0.2">
      <c r="B51" s="102">
        <v>1</v>
      </c>
      <c r="C51" s="60" t="s">
        <v>12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2:27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Z52">
        <v>2015</v>
      </c>
      <c r="AA52" s="5">
        <v>1596444</v>
      </c>
    </row>
    <row r="53" spans="2:27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27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27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2:27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2:27" x14ac:dyDescent="0.2">
      <c r="B57" s="60"/>
      <c r="C57" s="66" t="s">
        <v>105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27" x14ac:dyDescent="0.2">
      <c r="P58" s="60"/>
      <c r="Q58" s="60"/>
      <c r="R58" s="60"/>
    </row>
    <row r="65" spans="2:44" x14ac:dyDescent="0.2">
      <c r="C65" s="3"/>
    </row>
    <row r="66" spans="2:44" x14ac:dyDescent="0.2">
      <c r="C66" s="3"/>
    </row>
    <row r="67" spans="2:44" x14ac:dyDescent="0.2">
      <c r="C67" s="3"/>
    </row>
    <row r="68" spans="2:44" x14ac:dyDescent="0.2">
      <c r="C68" s="3"/>
    </row>
    <row r="69" spans="2:44" x14ac:dyDescent="0.2">
      <c r="C69" s="3"/>
    </row>
    <row r="71" spans="2:44" x14ac:dyDescent="0.2">
      <c r="C71" s="3"/>
    </row>
    <row r="72" spans="2:44" x14ac:dyDescent="0.2">
      <c r="C72" s="3"/>
    </row>
    <row r="73" spans="2:44" x14ac:dyDescent="0.2">
      <c r="C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 s="22" customFormat="1" ht="9" customHeight="1" x14ac:dyDescent="0.2">
      <c r="B74" s="23"/>
      <c r="C74" s="23"/>
      <c r="D74" s="23"/>
      <c r="E74" s="23"/>
      <c r="F74" s="2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 x14ac:dyDescent="0.2">
      <c r="B75" s="239">
        <f>'.03 delete'!C55+1</f>
        <v>2</v>
      </c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4"/>
    </row>
    <row r="76" spans="2:44" x14ac:dyDescent="0.2">
      <c r="C76" s="3"/>
      <c r="D76" s="3"/>
      <c r="E76" s="3"/>
      <c r="F76" s="3"/>
    </row>
    <row r="77" spans="2:44" x14ac:dyDescent="0.2">
      <c r="C77" s="3"/>
      <c r="D77" s="3"/>
      <c r="E77" s="3"/>
      <c r="F77" s="3"/>
    </row>
    <row r="78" spans="2:44" x14ac:dyDescent="0.2">
      <c r="C78" s="3"/>
      <c r="D78" s="3"/>
      <c r="E78" s="3"/>
      <c r="F78" s="3"/>
    </row>
    <row r="79" spans="2:44" x14ac:dyDescent="0.2">
      <c r="C79" s="3"/>
      <c r="D79" s="3"/>
      <c r="E79" s="3"/>
      <c r="F79" s="3"/>
    </row>
  </sheetData>
  <mergeCells count="5">
    <mergeCell ref="H4:O4"/>
    <mergeCell ref="C8:O9"/>
    <mergeCell ref="C26:C27"/>
    <mergeCell ref="B75:O75"/>
    <mergeCell ref="D11:R11"/>
  </mergeCells>
  <phoneticPr fontId="7" type="noConversion"/>
  <printOptions horizontalCentered="1"/>
  <pageMargins left="1" right="1" top="1" bottom="1" header="0.5" footer="0.24"/>
  <pageSetup scale="74" orientation="portrait" r:id="rId1"/>
  <headerFooter alignWithMargins="0"/>
  <ignoredErrors>
    <ignoredError sqref="M2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1</xdr:col>
                <xdr:colOff>247650</xdr:colOff>
                <xdr:row>1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V41"/>
  <sheetViews>
    <sheetView zoomScaleNormal="100" zoomScaleSheetLayoutView="100" workbookViewId="0">
      <pane xSplit="3" ySplit="11" topLeftCell="H12" activePane="bottomRight" state="frozen"/>
      <selection pane="topRight" activeCell="D1" sqref="D1"/>
      <selection pane="bottomLeft" activeCell="A12" sqref="A12"/>
      <selection pane="bottomRight" activeCell="C6" sqref="C6"/>
    </sheetView>
  </sheetViews>
  <sheetFormatPr defaultRowHeight="12.75" x14ac:dyDescent="0.2"/>
  <cols>
    <col min="1" max="1" width="2" style="17" customWidth="1"/>
    <col min="2" max="2" width="7.85546875" style="17" customWidth="1"/>
    <col min="3" max="3" width="63.5703125" style="17" customWidth="1"/>
    <col min="4" max="4" width="10.140625" style="17" customWidth="1"/>
    <col min="5" max="5" width="12.140625" style="17" customWidth="1"/>
    <col min="6" max="6" width="10.85546875" style="17" customWidth="1"/>
    <col min="7" max="7" width="11.28515625" style="17" customWidth="1"/>
    <col min="8" max="8" width="11.7109375" style="17" customWidth="1"/>
    <col min="9" max="9" width="6.85546875" style="17" hidden="1" customWidth="1"/>
    <col min="10" max="12" width="12.85546875" style="17" customWidth="1"/>
    <col min="13" max="13" width="12" style="17" customWidth="1"/>
    <col min="14" max="14" width="12.5703125" style="17" customWidth="1"/>
    <col min="15" max="15" width="15.42578125" style="17" customWidth="1"/>
    <col min="16" max="16" width="11.28515625" style="17" customWidth="1"/>
    <col min="17" max="17" width="11.85546875" style="17" customWidth="1"/>
    <col min="18" max="18" width="10.85546875" style="17" customWidth="1"/>
    <col min="19" max="19" width="9.140625" style="17" hidden="1" customWidth="1"/>
    <col min="20" max="20" width="10" style="17" customWidth="1"/>
    <col min="21" max="21" width="10.28515625" style="17" customWidth="1"/>
    <col min="22" max="22" width="12.85546875" style="17" bestFit="1" customWidth="1"/>
    <col min="23" max="16384" width="9.140625" style="17"/>
  </cols>
  <sheetData>
    <row r="4" spans="2:16" ht="15" x14ac:dyDescent="0.25">
      <c r="D4" s="136"/>
      <c r="E4" s="136"/>
      <c r="F4" s="136"/>
      <c r="G4" s="136"/>
      <c r="H4" s="136"/>
      <c r="I4" s="136"/>
    </row>
    <row r="5" spans="2:16" ht="9" customHeight="1" x14ac:dyDescent="0.2"/>
    <row r="8" spans="2:16" ht="18.75" x14ac:dyDescent="0.25">
      <c r="B8" s="249"/>
      <c r="C8" s="291" t="s">
        <v>243</v>
      </c>
      <c r="D8" s="291"/>
      <c r="E8" s="291"/>
      <c r="F8" s="291"/>
      <c r="G8" s="291"/>
      <c r="H8" s="291"/>
      <c r="I8" s="135"/>
    </row>
    <row r="9" spans="2:16" ht="15.75" x14ac:dyDescent="0.25">
      <c r="B9" s="31"/>
      <c r="C9" s="135" t="s">
        <v>244</v>
      </c>
      <c r="D9" s="31"/>
      <c r="E9" s="31"/>
      <c r="F9" s="31"/>
      <c r="G9" s="31"/>
      <c r="H9" s="31"/>
      <c r="I9" s="31"/>
    </row>
    <row r="10" spans="2:16" x14ac:dyDescent="0.2">
      <c r="B10" s="31"/>
      <c r="C10" s="31"/>
      <c r="I10" s="143"/>
      <c r="K10" s="251"/>
      <c r="M10" s="251" t="s">
        <v>187</v>
      </c>
    </row>
    <row r="11" spans="2:16" ht="15.75" x14ac:dyDescent="0.25">
      <c r="B11" s="31"/>
      <c r="C11" s="252" t="s">
        <v>13</v>
      </c>
      <c r="D11" s="253">
        <v>2008</v>
      </c>
      <c r="E11" s="253">
        <v>2009</v>
      </c>
      <c r="F11" s="253">
        <v>2010</v>
      </c>
      <c r="G11" s="254">
        <v>2011</v>
      </c>
      <c r="H11" s="253">
        <v>2012</v>
      </c>
      <c r="I11" s="253">
        <v>2013</v>
      </c>
      <c r="J11" s="253">
        <v>2013</v>
      </c>
      <c r="K11" s="253">
        <v>2014</v>
      </c>
      <c r="L11" s="253">
        <v>2015</v>
      </c>
      <c r="M11" s="253">
        <v>2016</v>
      </c>
      <c r="N11" s="29"/>
      <c r="O11" s="25"/>
      <c r="P11" s="25"/>
    </row>
    <row r="12" spans="2:16" ht="9.75" customHeight="1" x14ac:dyDescent="0.25">
      <c r="B12" s="31"/>
      <c r="C12" s="190"/>
      <c r="D12" s="47"/>
      <c r="E12" s="47"/>
      <c r="F12" s="47"/>
      <c r="H12" s="47"/>
      <c r="I12" s="47"/>
      <c r="J12" s="47"/>
      <c r="K12" s="47"/>
      <c r="L12" s="47"/>
      <c r="M12" s="47"/>
      <c r="N12" s="29"/>
      <c r="O12" s="25"/>
      <c r="P12" s="25"/>
    </row>
    <row r="13" spans="2:16" ht="15" customHeight="1" x14ac:dyDescent="0.2">
      <c r="B13" s="31"/>
      <c r="C13" s="256" t="s">
        <v>22</v>
      </c>
      <c r="D13" s="257">
        <f>SUM(D14+D29+D34)</f>
        <v>2437492.5000000005</v>
      </c>
      <c r="E13" s="159">
        <v>2598.1433333333334</v>
      </c>
      <c r="F13" s="159">
        <v>2729.2733333333331</v>
      </c>
      <c r="G13" s="159">
        <v>2724.2530000000002</v>
      </c>
      <c r="H13" s="159">
        <v>2691.8641666666667</v>
      </c>
      <c r="I13" s="159">
        <v>2691.8641666666667</v>
      </c>
      <c r="J13" s="159">
        <v>2636.8</v>
      </c>
      <c r="K13" s="159">
        <v>2657.5</v>
      </c>
      <c r="L13" s="159">
        <v>2684.7</v>
      </c>
      <c r="M13" s="159">
        <v>2809</v>
      </c>
    </row>
    <row r="14" spans="2:16" ht="15" x14ac:dyDescent="0.2">
      <c r="B14" s="31"/>
      <c r="C14" s="258" t="s">
        <v>90</v>
      </c>
      <c r="D14" s="257">
        <f>SUM(D15+D20+D24+D28)</f>
        <v>952735.83333333326</v>
      </c>
      <c r="E14" s="159">
        <v>971.27416666666659</v>
      </c>
      <c r="F14" s="159">
        <v>1049.5408333333332</v>
      </c>
      <c r="G14" s="159">
        <v>1007.841</v>
      </c>
      <c r="H14" s="159">
        <v>838.08416666666665</v>
      </c>
      <c r="I14" s="159">
        <v>838.08416666666665</v>
      </c>
      <c r="J14" s="159">
        <f t="shared" ref="J14:K14" si="0">J15+J20+J24+J28</f>
        <v>838.8</v>
      </c>
      <c r="K14" s="159">
        <f t="shared" si="0"/>
        <v>819.1</v>
      </c>
      <c r="L14" s="159">
        <f>L15+L20+L24+L28</f>
        <v>827.2</v>
      </c>
      <c r="M14" s="159">
        <f>M15+M20+M24+M28</f>
        <v>907.50000000000011</v>
      </c>
      <c r="N14" s="259"/>
      <c r="O14" s="27"/>
      <c r="P14" s="260"/>
    </row>
    <row r="15" spans="2:16" ht="15" x14ac:dyDescent="0.2">
      <c r="B15" s="31"/>
      <c r="C15" s="261" t="s">
        <v>96</v>
      </c>
      <c r="D15" s="262">
        <f t="shared" ref="D15" si="1">SUM(D16:D19)</f>
        <v>118184.16666666667</v>
      </c>
      <c r="E15" s="159">
        <f t="shared" ref="E15" si="2">SUM(E16:E19)</f>
        <v>149.44666666666669</v>
      </c>
      <c r="F15" s="159">
        <f t="shared" ref="F15" si="3">SUM(F16:F19)</f>
        <v>291.87750000000005</v>
      </c>
      <c r="G15" s="159">
        <f t="shared" ref="G15" si="4">SUM(G16:G19)</f>
        <v>410.46100000000001</v>
      </c>
      <c r="H15" s="159">
        <f t="shared" ref="H15" si="5">SUM(H16:H19)</f>
        <v>324.11916666666667</v>
      </c>
      <c r="I15" s="159">
        <f t="shared" ref="I15" si="6">SUM(I16:I19)</f>
        <v>324.11916666666667</v>
      </c>
      <c r="J15" s="159">
        <f t="shared" ref="J15" si="7">SUM(J16:J19)</f>
        <v>301.3</v>
      </c>
      <c r="K15" s="159">
        <f t="shared" ref="K15" si="8">SUM(K16:K19)</f>
        <v>168.5</v>
      </c>
      <c r="L15" s="159">
        <f t="shared" ref="L15" si="9">SUM(L16:L19)</f>
        <v>165.5</v>
      </c>
      <c r="M15" s="159">
        <f>SUM(M16:M19)</f>
        <v>172.1</v>
      </c>
      <c r="O15" s="27"/>
      <c r="P15" s="260"/>
    </row>
    <row r="16" spans="2:16" ht="15" x14ac:dyDescent="0.2">
      <c r="B16" s="31"/>
      <c r="C16" s="263" t="s">
        <v>130</v>
      </c>
      <c r="D16" s="264">
        <v>7192.5</v>
      </c>
      <c r="E16" s="265">
        <v>6.9633333333333338</v>
      </c>
      <c r="F16" s="265">
        <v>7.09</v>
      </c>
      <c r="G16" s="266">
        <v>15.833</v>
      </c>
      <c r="H16" s="267">
        <v>11.943333333333333</v>
      </c>
      <c r="I16" s="267">
        <v>11.943333333333333</v>
      </c>
      <c r="J16" s="267">
        <v>12.7</v>
      </c>
      <c r="K16" s="267">
        <v>20</v>
      </c>
      <c r="L16" s="267">
        <v>8.3000000000000007</v>
      </c>
      <c r="M16" s="267">
        <v>4.3</v>
      </c>
      <c r="N16" s="259"/>
      <c r="O16" s="27"/>
      <c r="P16" s="260"/>
    </row>
    <row r="17" spans="2:16" ht="15" x14ac:dyDescent="0.2">
      <c r="B17" s="31"/>
      <c r="C17" s="263" t="s">
        <v>91</v>
      </c>
      <c r="D17" s="264">
        <v>5399.166666666667</v>
      </c>
      <c r="E17" s="265">
        <v>7.0141666666666671</v>
      </c>
      <c r="F17" s="265">
        <v>9.2725000000000009</v>
      </c>
      <c r="G17" s="266">
        <v>25.143000000000001</v>
      </c>
      <c r="H17" s="267">
        <v>27.174166666666668</v>
      </c>
      <c r="I17" s="267">
        <v>27.174166666666668</v>
      </c>
      <c r="J17" s="267">
        <v>20.5</v>
      </c>
      <c r="K17" s="267">
        <v>13.4</v>
      </c>
      <c r="L17" s="267">
        <v>18.7</v>
      </c>
      <c r="M17" s="267">
        <v>19.600000000000001</v>
      </c>
      <c r="O17" s="27"/>
      <c r="P17" s="260"/>
    </row>
    <row r="18" spans="2:16" ht="15" x14ac:dyDescent="0.2">
      <c r="B18" s="31"/>
      <c r="C18" s="263" t="s">
        <v>14</v>
      </c>
      <c r="D18" s="264">
        <v>25693.333333333336</v>
      </c>
      <c r="E18" s="265">
        <v>20.56</v>
      </c>
      <c r="F18" s="265">
        <v>56.976666666666674</v>
      </c>
      <c r="G18" s="266">
        <v>17.606999999999999</v>
      </c>
      <c r="H18" s="267">
        <v>2.5791666666666671</v>
      </c>
      <c r="I18" s="267">
        <v>2.5791666666666671</v>
      </c>
      <c r="J18" s="267">
        <v>2.4</v>
      </c>
      <c r="K18" s="267">
        <v>15.7</v>
      </c>
      <c r="L18" s="267">
        <v>12.9</v>
      </c>
      <c r="M18" s="267">
        <v>36.9</v>
      </c>
      <c r="N18" s="259"/>
      <c r="O18" s="27"/>
      <c r="P18" s="260"/>
    </row>
    <row r="19" spans="2:16" x14ac:dyDescent="0.2">
      <c r="B19" s="31"/>
      <c r="C19" s="263" t="s">
        <v>15</v>
      </c>
      <c r="D19" s="264">
        <v>79899.166666666672</v>
      </c>
      <c r="E19" s="265">
        <v>114.90916666666668</v>
      </c>
      <c r="F19" s="265">
        <v>218.53833333333336</v>
      </c>
      <c r="G19" s="266">
        <v>351.87799999999999</v>
      </c>
      <c r="H19" s="267">
        <v>282.42250000000001</v>
      </c>
      <c r="I19" s="267">
        <v>282.42250000000001</v>
      </c>
      <c r="J19" s="267">
        <v>265.7</v>
      </c>
      <c r="K19" s="267">
        <v>119.4</v>
      </c>
      <c r="L19" s="267">
        <v>125.6</v>
      </c>
      <c r="M19" s="267">
        <v>111.3</v>
      </c>
      <c r="N19" s="268"/>
      <c r="O19" s="268"/>
      <c r="P19" s="268"/>
    </row>
    <row r="20" spans="2:16" ht="15" x14ac:dyDescent="0.2">
      <c r="B20" s="31"/>
      <c r="C20" s="261" t="s">
        <v>92</v>
      </c>
      <c r="D20" s="257">
        <f>SUM(D21:D23)</f>
        <v>186937.5</v>
      </c>
      <c r="E20" s="159">
        <f t="shared" ref="E20:L20" si="10">SUM(E21:E23)</f>
        <v>260.13083333333338</v>
      </c>
      <c r="F20" s="159">
        <f t="shared" si="10"/>
        <v>210.8425</v>
      </c>
      <c r="G20" s="159">
        <f t="shared" si="10"/>
        <v>167.05500000000001</v>
      </c>
      <c r="H20" s="159">
        <f t="shared" si="10"/>
        <v>129.35749999999999</v>
      </c>
      <c r="I20" s="159">
        <f t="shared" si="10"/>
        <v>129.35749999999999</v>
      </c>
      <c r="J20" s="159">
        <f t="shared" si="10"/>
        <v>95.5</v>
      </c>
      <c r="K20" s="159">
        <f t="shared" si="10"/>
        <v>82.199999999999989</v>
      </c>
      <c r="L20" s="159">
        <f t="shared" si="10"/>
        <v>65.599999999999994</v>
      </c>
      <c r="M20" s="159">
        <f>SUM(M21:M23)</f>
        <v>72.2</v>
      </c>
      <c r="N20" s="259"/>
      <c r="O20" s="27"/>
      <c r="P20" s="260"/>
    </row>
    <row r="21" spans="2:16" ht="15" x14ac:dyDescent="0.2">
      <c r="B21" s="31"/>
      <c r="C21" s="263" t="s">
        <v>132</v>
      </c>
      <c r="D21" s="264">
        <v>78663.333333333343</v>
      </c>
      <c r="E21" s="265">
        <v>130.51916666666668</v>
      </c>
      <c r="F21" s="265">
        <v>113.42749999999999</v>
      </c>
      <c r="G21" s="266">
        <v>116.336</v>
      </c>
      <c r="H21" s="267">
        <v>92.607500000000002</v>
      </c>
      <c r="I21" s="267">
        <v>92.607500000000002</v>
      </c>
      <c r="J21" s="267">
        <v>55</v>
      </c>
      <c r="K21" s="267">
        <v>27.7</v>
      </c>
      <c r="L21" s="267">
        <v>15.4</v>
      </c>
      <c r="M21" s="267">
        <v>13.6</v>
      </c>
      <c r="O21" s="27"/>
      <c r="P21" s="260"/>
    </row>
    <row r="22" spans="2:16" ht="15" x14ac:dyDescent="0.2">
      <c r="B22" s="31"/>
      <c r="C22" s="263" t="s">
        <v>131</v>
      </c>
      <c r="D22" s="264">
        <v>41781.666666666672</v>
      </c>
      <c r="E22" s="265">
        <v>27.71166666666667</v>
      </c>
      <c r="F22" s="265">
        <v>5.0183333333333335</v>
      </c>
      <c r="G22" s="266">
        <v>25.826000000000001</v>
      </c>
      <c r="H22" s="267">
        <v>14.928333333333335</v>
      </c>
      <c r="I22" s="267">
        <v>14.928333333333335</v>
      </c>
      <c r="J22" s="267">
        <v>18.5</v>
      </c>
      <c r="K22" s="267">
        <v>17.399999999999999</v>
      </c>
      <c r="L22" s="267">
        <v>17.399999999999999</v>
      </c>
      <c r="M22" s="267">
        <v>19.399999999999999</v>
      </c>
      <c r="N22" s="259"/>
      <c r="O22" s="27"/>
      <c r="P22" s="260"/>
    </row>
    <row r="23" spans="2:16" ht="15" x14ac:dyDescent="0.2">
      <c r="B23" s="31"/>
      <c r="C23" s="263" t="s">
        <v>133</v>
      </c>
      <c r="D23" s="264">
        <v>66492.5</v>
      </c>
      <c r="E23" s="265">
        <v>101.9</v>
      </c>
      <c r="F23" s="265">
        <v>92.396666666666675</v>
      </c>
      <c r="G23" s="266">
        <v>24.893000000000001</v>
      </c>
      <c r="H23" s="267">
        <v>21.821666666666669</v>
      </c>
      <c r="I23" s="267">
        <v>21.821666666666669</v>
      </c>
      <c r="J23" s="267">
        <v>22</v>
      </c>
      <c r="K23" s="267">
        <v>37.1</v>
      </c>
      <c r="L23" s="267">
        <v>32.799999999999997</v>
      </c>
      <c r="M23" s="267">
        <v>39.200000000000003</v>
      </c>
      <c r="O23" s="27"/>
      <c r="P23" s="260"/>
    </row>
    <row r="24" spans="2:16" ht="15" x14ac:dyDescent="0.2">
      <c r="B24" s="31"/>
      <c r="C24" s="261" t="s">
        <v>93</v>
      </c>
      <c r="D24" s="257">
        <f>SUM(D25:D27)</f>
        <v>607206.66666666663</v>
      </c>
      <c r="E24" s="159">
        <f t="shared" ref="E24:L24" si="11">SUM(E25:E27)</f>
        <v>519.04750000000013</v>
      </c>
      <c r="F24" s="159">
        <f t="shared" si="11"/>
        <v>453.95250000000004</v>
      </c>
      <c r="G24" s="159">
        <f t="shared" si="11"/>
        <v>383.57499999999999</v>
      </c>
      <c r="H24" s="159">
        <f t="shared" si="11"/>
        <v>343.48833333333334</v>
      </c>
      <c r="I24" s="159">
        <f t="shared" si="11"/>
        <v>343.48833333333334</v>
      </c>
      <c r="J24" s="159">
        <f t="shared" si="11"/>
        <v>410.2</v>
      </c>
      <c r="K24" s="159">
        <f t="shared" si="11"/>
        <v>465.5</v>
      </c>
      <c r="L24" s="159">
        <f t="shared" si="11"/>
        <v>483.9</v>
      </c>
      <c r="M24" s="159">
        <f>SUM(M25:M27)</f>
        <v>525.6</v>
      </c>
      <c r="N24" s="259"/>
      <c r="O24" s="27"/>
      <c r="P24" s="260"/>
    </row>
    <row r="25" spans="2:16" ht="15" x14ac:dyDescent="0.2">
      <c r="B25" s="31"/>
      <c r="C25" s="263" t="s">
        <v>134</v>
      </c>
      <c r="D25" s="264">
        <v>167661.66666666669</v>
      </c>
      <c r="E25" s="265">
        <v>79.797499999999999</v>
      </c>
      <c r="F25" s="265">
        <v>67.3</v>
      </c>
      <c r="G25" s="266">
        <v>78.090999999999994</v>
      </c>
      <c r="H25" s="267">
        <v>57.985833333333339</v>
      </c>
      <c r="I25" s="267">
        <v>57.985833333333339</v>
      </c>
      <c r="J25" s="267">
        <v>71.3</v>
      </c>
      <c r="K25" s="267">
        <v>72.3</v>
      </c>
      <c r="L25" s="267">
        <v>68.5</v>
      </c>
      <c r="M25" s="267">
        <v>53.4</v>
      </c>
      <c r="O25" s="27"/>
      <c r="P25" s="260"/>
    </row>
    <row r="26" spans="2:16" ht="15" x14ac:dyDescent="0.2">
      <c r="B26" s="31"/>
      <c r="C26" s="263" t="s">
        <v>135</v>
      </c>
      <c r="D26" s="264">
        <v>430313.33333333337</v>
      </c>
      <c r="E26" s="265">
        <v>425.87583333333339</v>
      </c>
      <c r="F26" s="265">
        <v>364.08083333333337</v>
      </c>
      <c r="G26" s="266">
        <v>136.52699999999999</v>
      </c>
      <c r="H26" s="267">
        <v>128.57499999999999</v>
      </c>
      <c r="I26" s="267">
        <v>128.57499999999999</v>
      </c>
      <c r="J26" s="267">
        <v>140.69999999999999</v>
      </c>
      <c r="K26" s="267">
        <v>211.9</v>
      </c>
      <c r="L26" s="267">
        <v>211.7</v>
      </c>
      <c r="M26" s="267">
        <v>194.6</v>
      </c>
      <c r="N26" s="259"/>
      <c r="O26" s="27"/>
      <c r="P26" s="260"/>
    </row>
    <row r="27" spans="2:16" ht="15" x14ac:dyDescent="0.2">
      <c r="B27" s="31"/>
      <c r="C27" s="263" t="s">
        <v>136</v>
      </c>
      <c r="D27" s="264">
        <v>9231.6666666666679</v>
      </c>
      <c r="E27" s="265">
        <v>13.374166666666667</v>
      </c>
      <c r="F27" s="265">
        <v>22.571666666666669</v>
      </c>
      <c r="G27" s="266">
        <v>168.95699999999999</v>
      </c>
      <c r="H27" s="267">
        <v>156.92750000000001</v>
      </c>
      <c r="I27" s="267">
        <v>156.92750000000001</v>
      </c>
      <c r="J27" s="267">
        <v>198.2</v>
      </c>
      <c r="K27" s="267">
        <v>181.3</v>
      </c>
      <c r="L27" s="267">
        <v>203.7</v>
      </c>
      <c r="M27" s="267">
        <v>277.60000000000002</v>
      </c>
      <c r="O27" s="27"/>
      <c r="P27" s="260"/>
    </row>
    <row r="28" spans="2:16" ht="15" x14ac:dyDescent="0.2">
      <c r="B28" s="31"/>
      <c r="C28" s="261" t="s">
        <v>94</v>
      </c>
      <c r="D28" s="257">
        <v>40407.5</v>
      </c>
      <c r="E28" s="159">
        <v>42.649166666666673</v>
      </c>
      <c r="F28" s="159">
        <v>92.868333333333339</v>
      </c>
      <c r="G28" s="159">
        <v>46.75</v>
      </c>
      <c r="H28" s="269">
        <v>41.119166666666672</v>
      </c>
      <c r="I28" s="269">
        <v>41.119166666666672</v>
      </c>
      <c r="J28" s="269">
        <v>31.8</v>
      </c>
      <c r="K28" s="269">
        <v>102.9</v>
      </c>
      <c r="L28" s="269">
        <v>112.2</v>
      </c>
      <c r="M28" s="269">
        <v>137.6</v>
      </c>
      <c r="N28" s="259"/>
      <c r="O28" s="27"/>
      <c r="P28" s="260"/>
    </row>
    <row r="29" spans="2:16" ht="15" x14ac:dyDescent="0.2">
      <c r="B29" s="31"/>
      <c r="C29" s="258" t="s">
        <v>95</v>
      </c>
      <c r="D29" s="270">
        <f>SUM(D30:D33)</f>
        <v>1484710.8333333335</v>
      </c>
      <c r="E29" s="271">
        <f t="shared" ref="E29:L29" si="12">SUM(E30:E33)</f>
        <v>1626.6591666666668</v>
      </c>
      <c r="F29" s="271">
        <f t="shared" si="12"/>
        <v>1679.2958333333336</v>
      </c>
      <c r="G29" s="271">
        <f t="shared" si="12"/>
        <v>1716.2240000000002</v>
      </c>
      <c r="H29" s="271">
        <f t="shared" si="12"/>
        <v>1853.7058333333334</v>
      </c>
      <c r="I29" s="271">
        <f t="shared" si="12"/>
        <v>1853.7058333333334</v>
      </c>
      <c r="J29" s="271">
        <f t="shared" si="12"/>
        <v>1797.8999999999999</v>
      </c>
      <c r="K29" s="271">
        <f t="shared" si="12"/>
        <v>1821.6000000000001</v>
      </c>
      <c r="L29" s="271">
        <f t="shared" si="12"/>
        <v>1843.1</v>
      </c>
      <c r="M29" s="271">
        <f>SUM(M30:M33)</f>
        <v>1882.6000000000001</v>
      </c>
      <c r="O29" s="27"/>
      <c r="P29" s="260"/>
    </row>
    <row r="30" spans="2:16" ht="15" x14ac:dyDescent="0.2">
      <c r="B30" s="31"/>
      <c r="C30" s="272" t="s">
        <v>139</v>
      </c>
      <c r="D30" s="264">
        <v>1295803.3333333335</v>
      </c>
      <c r="E30" s="265">
        <v>1375.6016666666667</v>
      </c>
      <c r="F30" s="265">
        <v>1458.5491666666667</v>
      </c>
      <c r="G30" s="273">
        <v>1487.1369999999999</v>
      </c>
      <c r="H30" s="267">
        <v>1540.905</v>
      </c>
      <c r="I30" s="267">
        <v>1540.905</v>
      </c>
      <c r="J30" s="267">
        <v>1537.6</v>
      </c>
      <c r="K30" s="267">
        <v>1524.9</v>
      </c>
      <c r="L30" s="267">
        <v>1553.6</v>
      </c>
      <c r="M30" s="267">
        <v>1600.9</v>
      </c>
      <c r="N30" s="259"/>
      <c r="O30" s="27"/>
      <c r="P30" s="260"/>
    </row>
    <row r="31" spans="2:16" ht="15" x14ac:dyDescent="0.2">
      <c r="B31" s="31"/>
      <c r="C31" s="272" t="s">
        <v>137</v>
      </c>
      <c r="D31" s="264">
        <v>43964.166666666672</v>
      </c>
      <c r="E31" s="265">
        <v>70.22</v>
      </c>
      <c r="F31" s="265">
        <v>49.808333333333337</v>
      </c>
      <c r="G31" s="273">
        <v>36.786999999999999</v>
      </c>
      <c r="H31" s="267">
        <v>33.033333333333339</v>
      </c>
      <c r="I31" s="267">
        <v>33.033333333333339</v>
      </c>
      <c r="J31" s="267">
        <v>30.6</v>
      </c>
      <c r="K31" s="267">
        <v>34.200000000000003</v>
      </c>
      <c r="L31" s="267">
        <v>41.2</v>
      </c>
      <c r="M31" s="267">
        <v>45.8</v>
      </c>
      <c r="O31" s="27"/>
      <c r="P31" s="260"/>
    </row>
    <row r="32" spans="2:16" ht="15.75" x14ac:dyDescent="0.25">
      <c r="B32" s="31"/>
      <c r="C32" s="272" t="s">
        <v>138</v>
      </c>
      <c r="D32" s="264">
        <v>1655</v>
      </c>
      <c r="E32" s="265">
        <v>3.1716666666666669</v>
      </c>
      <c r="F32" s="265">
        <v>4.6733333333333338</v>
      </c>
      <c r="G32" s="273">
        <v>4.4859999999999998</v>
      </c>
      <c r="H32" s="267">
        <v>4.2858333333333336</v>
      </c>
      <c r="I32" s="267">
        <v>4.2858333333333336</v>
      </c>
      <c r="J32" s="267">
        <v>5.2</v>
      </c>
      <c r="K32" s="267">
        <v>6</v>
      </c>
      <c r="L32" s="267">
        <v>6.3</v>
      </c>
      <c r="M32" s="267">
        <v>5.9</v>
      </c>
      <c r="N32" s="259"/>
      <c r="O32" s="274"/>
      <c r="P32" s="260"/>
    </row>
    <row r="33" spans="2:16" ht="15.75" x14ac:dyDescent="0.25">
      <c r="B33" s="31"/>
      <c r="C33" s="272" t="s">
        <v>110</v>
      </c>
      <c r="D33" s="264">
        <v>143288.33333333334</v>
      </c>
      <c r="E33" s="265">
        <v>177.66583333333335</v>
      </c>
      <c r="F33" s="265">
        <v>166.26499999999999</v>
      </c>
      <c r="G33" s="273">
        <v>187.81399999999999</v>
      </c>
      <c r="H33" s="267">
        <v>275.48166666666668</v>
      </c>
      <c r="I33" s="267">
        <v>275.48166666666668</v>
      </c>
      <c r="J33" s="267">
        <v>224.5</v>
      </c>
      <c r="K33" s="267">
        <v>256.5</v>
      </c>
      <c r="L33" s="267">
        <v>242</v>
      </c>
      <c r="M33" s="267">
        <v>230</v>
      </c>
      <c r="N33" s="259"/>
      <c r="O33" s="274"/>
      <c r="P33" s="260"/>
    </row>
    <row r="34" spans="2:16" ht="15.75" x14ac:dyDescent="0.25">
      <c r="B34" s="31"/>
      <c r="C34" s="275" t="s">
        <v>129</v>
      </c>
      <c r="D34" s="277">
        <v>45.833333333333336</v>
      </c>
      <c r="E34" s="278">
        <v>0.21</v>
      </c>
      <c r="F34" s="278">
        <v>0.4366666666666667</v>
      </c>
      <c r="G34" s="278">
        <v>0.188</v>
      </c>
      <c r="H34" s="279">
        <v>7.4166666666666672E-2</v>
      </c>
      <c r="I34" s="279">
        <v>7.4166666666666672E-2</v>
      </c>
      <c r="J34" s="280" t="s">
        <v>183</v>
      </c>
      <c r="K34" s="280">
        <v>16.3</v>
      </c>
      <c r="L34" s="280">
        <v>14.3</v>
      </c>
      <c r="M34" s="280">
        <v>18.7</v>
      </c>
      <c r="N34" s="259"/>
      <c r="O34" s="274"/>
      <c r="P34" s="260"/>
    </row>
    <row r="35" spans="2:16" ht="15.75" x14ac:dyDescent="0.25">
      <c r="B35" s="31"/>
      <c r="C35" s="281"/>
      <c r="D35" s="257"/>
      <c r="E35" s="257"/>
      <c r="F35" s="257"/>
      <c r="G35" s="282"/>
      <c r="H35" s="283"/>
      <c r="I35" s="282"/>
      <c r="J35" s="276"/>
      <c r="K35" s="276"/>
      <c r="L35" s="276"/>
      <c r="M35" s="276"/>
      <c r="N35" s="259"/>
      <c r="O35" s="274"/>
      <c r="P35" s="260"/>
    </row>
    <row r="36" spans="2:16" x14ac:dyDescent="0.2">
      <c r="B36" s="168"/>
      <c r="C36" s="256" t="s">
        <v>70</v>
      </c>
      <c r="D36" s="31"/>
      <c r="E36" s="284"/>
      <c r="F36" s="284"/>
      <c r="G36" s="284"/>
      <c r="H36" s="284"/>
      <c r="I36" s="284"/>
      <c r="J36" s="284"/>
      <c r="K36" s="209"/>
      <c r="L36" s="209"/>
      <c r="M36" s="209"/>
    </row>
    <row r="37" spans="2:16" ht="14.25" x14ac:dyDescent="0.2">
      <c r="B37" s="285"/>
      <c r="C37" s="209" t="s">
        <v>140</v>
      </c>
      <c r="D37" s="50"/>
      <c r="E37" s="284"/>
      <c r="F37" s="284"/>
      <c r="G37" s="284"/>
      <c r="H37" s="284"/>
      <c r="I37" s="284"/>
      <c r="J37" s="284"/>
      <c r="K37" s="209"/>
      <c r="L37" s="209"/>
      <c r="M37" s="209"/>
    </row>
    <row r="38" spans="2:16" ht="14.25" x14ac:dyDescent="0.2">
      <c r="B38" s="285"/>
      <c r="C38" s="286" t="s">
        <v>160</v>
      </c>
      <c r="D38" s="50"/>
      <c r="E38" s="284"/>
      <c r="F38" s="284"/>
      <c r="G38" s="284"/>
      <c r="H38" s="284"/>
      <c r="I38" s="284"/>
      <c r="J38" s="284"/>
      <c r="K38" s="209"/>
      <c r="L38" s="209"/>
      <c r="M38" s="209"/>
    </row>
    <row r="39" spans="2:16" ht="14.25" x14ac:dyDescent="0.2">
      <c r="B39" s="285"/>
      <c r="C39" s="287"/>
      <c r="D39" s="50"/>
      <c r="E39" s="284"/>
      <c r="F39" s="284"/>
      <c r="G39" s="284"/>
      <c r="H39" s="284"/>
      <c r="I39" s="284"/>
      <c r="J39" s="284"/>
      <c r="K39" s="209"/>
      <c r="L39" s="209"/>
      <c r="M39" s="209"/>
    </row>
    <row r="40" spans="2:16" ht="25.5" x14ac:dyDescent="0.2">
      <c r="C40" s="292" t="s">
        <v>235</v>
      </c>
      <c r="D40" s="288"/>
      <c r="E40" s="284"/>
      <c r="F40" s="284"/>
      <c r="G40" s="284"/>
      <c r="H40" s="284"/>
      <c r="I40" s="284"/>
      <c r="J40" s="284"/>
      <c r="K40" s="209"/>
      <c r="L40" s="209"/>
      <c r="M40" s="209"/>
    </row>
    <row r="41" spans="2:16" ht="15" x14ac:dyDescent="0.2">
      <c r="C41" s="27"/>
      <c r="D41" s="27"/>
      <c r="E41" s="284"/>
      <c r="F41" s="284"/>
      <c r="G41" s="284"/>
      <c r="H41" s="284"/>
      <c r="I41" s="284"/>
      <c r="J41" s="284"/>
    </row>
  </sheetData>
  <phoneticPr fontId="29" type="noConversion"/>
  <printOptions horizontalCentered="1"/>
  <pageMargins left="0.9" right="0.9" top="1" bottom="1" header="0.5" footer="0.24"/>
  <pageSetup scale="54" orientation="portrait" r:id="rId1"/>
  <headerFooter alignWithMargins="0"/>
  <ignoredErrors>
    <ignoredError sqref="D29 D24 E24:M29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9628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304800</xdr:colOff>
                <xdr:row>3</xdr:row>
                <xdr:rowOff>180975</xdr:rowOff>
              </to>
            </anchor>
          </objectPr>
        </oleObject>
      </mc:Choice>
      <mc:Fallback>
        <oleObject progId="MSPhotoEd.3" shapeId="396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Assets</vt:lpstr>
      <vt:lpstr>Liabilities</vt:lpstr>
      <vt:lpstr>Net Foreign Assets</vt:lpstr>
      <vt:lpstr>Residents &amp; non-residents</vt:lpstr>
      <vt:lpstr>.02</vt:lpstr>
      <vt:lpstr>.03 delete</vt:lpstr>
      <vt:lpstr>.04 delete</vt:lpstr>
      <vt:lpstr>.05</vt:lpstr>
      <vt:lpstr>.06</vt:lpstr>
      <vt:lpstr>.07</vt:lpstr>
      <vt:lpstr>.08</vt:lpstr>
      <vt:lpstr>.09</vt:lpstr>
      <vt:lpstr>new .10</vt:lpstr>
      <vt:lpstr>.10 delete</vt:lpstr>
      <vt:lpstr>.11</vt:lpstr>
      <vt:lpstr>.12 &amp; .13 new</vt:lpstr>
      <vt:lpstr>footer</vt:lpstr>
      <vt:lpstr>'.01'!Print_Area</vt:lpstr>
      <vt:lpstr>'.02'!Print_Area</vt:lpstr>
      <vt:lpstr>'.03 delete'!Print_Area</vt:lpstr>
      <vt:lpstr>'.04 delete'!Print_Area</vt:lpstr>
      <vt:lpstr>'.05'!Print_Area</vt:lpstr>
      <vt:lpstr>'.06'!Print_Area</vt:lpstr>
      <vt:lpstr>'.07'!Print_Area</vt:lpstr>
      <vt:lpstr>'.08'!Print_Area</vt:lpstr>
      <vt:lpstr>'.09'!Print_Area</vt:lpstr>
      <vt:lpstr>'.10 delete'!Print_Area</vt:lpstr>
      <vt:lpstr>'.11'!Print_Area</vt:lpstr>
      <vt:lpstr>'.12 &amp; .13 new'!Print_Area</vt:lpstr>
      <vt:lpstr>Assets!Print_Area</vt:lpstr>
      <vt:lpstr>Liabilities!Print_Area</vt:lpstr>
      <vt:lpstr>'Net Foreign Assets'!Print_Area</vt:lpstr>
      <vt:lpstr>'Residents &amp; non-residents'!Print_Area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Financial Services</dc:subject>
  <dc:creator>Economics &amp; Statistics Office</dc:creator>
  <cp:lastModifiedBy>Administrator</cp:lastModifiedBy>
  <cp:lastPrinted>2017-06-12T20:11:28Z</cp:lastPrinted>
  <dcterms:created xsi:type="dcterms:W3CDTF">2008-03-05T14:18:27Z</dcterms:created>
  <dcterms:modified xsi:type="dcterms:W3CDTF">2017-10-13T20:06:25Z</dcterms:modified>
</cp:coreProperties>
</file>